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A57F0C22-B337-41ED-951E-0AF0C8DD1344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Countris_ALL" sheetId="12" r:id="rId1"/>
    <sheet name="Countries" sheetId="1" r:id="rId2"/>
    <sheet name="Individums" sheetId="8" r:id="rId3"/>
    <sheet name="Countris_By_Age&amp;Sex" sheetId="9" r:id="rId4"/>
    <sheet name="Countris_By_Education" sheetId="10" r:id="rId5"/>
    <sheet name="Final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3" l="1"/>
  <c r="F24" i="13"/>
  <c r="F28" i="13"/>
  <c r="F14" i="13"/>
  <c r="F29" i="13"/>
  <c r="F16" i="13"/>
  <c r="F4" i="13"/>
  <c r="F33" i="13"/>
  <c r="F11" i="13"/>
  <c r="F25" i="13"/>
  <c r="F35" i="13"/>
  <c r="F30" i="13"/>
  <c r="F5" i="13"/>
  <c r="F31" i="13"/>
  <c r="F34" i="13"/>
  <c r="F8" i="13"/>
  <c r="F23" i="13"/>
  <c r="F13" i="13"/>
  <c r="F2" i="13"/>
  <c r="F3" i="13"/>
  <c r="F22" i="13"/>
  <c r="F37" i="13"/>
  <c r="F9" i="13"/>
  <c r="F32" i="13"/>
  <c r="F19" i="13"/>
  <c r="F39" i="13"/>
  <c r="F6" i="13"/>
  <c r="F10" i="13"/>
  <c r="F20" i="13"/>
  <c r="F7" i="13"/>
  <c r="F18" i="13"/>
  <c r="F15" i="13"/>
  <c r="F21" i="13"/>
  <c r="F27" i="13"/>
  <c r="F36" i="13"/>
  <c r="F12" i="13"/>
  <c r="F38" i="13"/>
  <c r="F17" i="13"/>
  <c r="M34" i="1"/>
  <c r="L3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AC3" i="9"/>
  <c r="R3" i="9"/>
  <c r="AE3" i="9" s="1"/>
  <c r="G18" i="13" l="1"/>
  <c r="G9" i="13"/>
  <c r="G34" i="13"/>
  <c r="H34" i="13" s="1"/>
  <c r="K34" i="13" s="1"/>
  <c r="G4" i="13"/>
  <c r="H4" i="13" s="1"/>
  <c r="K4" i="13" s="1"/>
  <c r="G33" i="13"/>
  <c r="H33" i="13" s="1"/>
  <c r="K33" i="13" s="1"/>
  <c r="G17" i="13"/>
  <c r="G7" i="13"/>
  <c r="H7" i="13" s="1"/>
  <c r="K7" i="13" s="1"/>
  <c r="G37" i="13"/>
  <c r="H37" i="13" s="1"/>
  <c r="K37" i="13" s="1"/>
  <c r="G31" i="13"/>
  <c r="G16" i="13"/>
  <c r="G38" i="13"/>
  <c r="H38" i="13" s="1"/>
  <c r="K38" i="13" s="1"/>
  <c r="G20" i="13"/>
  <c r="G22" i="13"/>
  <c r="G5" i="13"/>
  <c r="G29" i="13"/>
  <c r="H29" i="13" s="1"/>
  <c r="K29" i="13" s="1"/>
  <c r="G12" i="13"/>
  <c r="H12" i="13" s="1"/>
  <c r="K12" i="13" s="1"/>
  <c r="G10" i="13"/>
  <c r="G3" i="13"/>
  <c r="G30" i="13"/>
  <c r="H30" i="13" s="1"/>
  <c r="K30" i="13" s="1"/>
  <c r="G14" i="13"/>
  <c r="G8" i="13"/>
  <c r="H8" i="13" s="1"/>
  <c r="K8" i="13" s="1"/>
  <c r="G36" i="13"/>
  <c r="H36" i="13" s="1"/>
  <c r="K36" i="13" s="1"/>
  <c r="G6" i="13"/>
  <c r="H6" i="13" s="1"/>
  <c r="K6" i="13" s="1"/>
  <c r="G2" i="13"/>
  <c r="H2" i="13" s="1"/>
  <c r="K2" i="13" s="1"/>
  <c r="G35" i="13"/>
  <c r="H35" i="13" s="1"/>
  <c r="K35" i="13" s="1"/>
  <c r="G28" i="13"/>
  <c r="H28" i="13" s="1"/>
  <c r="K28" i="13" s="1"/>
  <c r="G32" i="13"/>
  <c r="H32" i="13" s="1"/>
  <c r="K32" i="13" s="1"/>
  <c r="G27" i="13"/>
  <c r="H27" i="13" s="1"/>
  <c r="K27" i="13" s="1"/>
  <c r="G39" i="13"/>
  <c r="H39" i="13" s="1"/>
  <c r="K39" i="13" s="1"/>
  <c r="G13" i="13"/>
  <c r="H13" i="13" s="1"/>
  <c r="K13" i="13" s="1"/>
  <c r="G25" i="13"/>
  <c r="H25" i="13" s="1"/>
  <c r="K25" i="13" s="1"/>
  <c r="G24" i="13"/>
  <c r="H24" i="13" s="1"/>
  <c r="K24" i="13" s="1"/>
  <c r="G15" i="13"/>
  <c r="H15" i="13" s="1"/>
  <c r="K15" i="13" s="1"/>
  <c r="K23" i="13"/>
  <c r="K11" i="13"/>
  <c r="K26" i="13"/>
  <c r="G21" i="13"/>
  <c r="H21" i="13" s="1"/>
  <c r="K21" i="13" s="1"/>
  <c r="G19" i="13"/>
  <c r="H19" i="13" s="1"/>
  <c r="K19" i="13" s="1"/>
  <c r="G23" i="13"/>
  <c r="H23" i="13" s="1"/>
  <c r="G11" i="13"/>
  <c r="H11" i="13" s="1"/>
  <c r="G26" i="13"/>
  <c r="H26" i="13" s="1"/>
  <c r="H18" i="13"/>
  <c r="K18" i="13" s="1"/>
  <c r="H9" i="13"/>
  <c r="K9" i="13" s="1"/>
  <c r="H17" i="13"/>
  <c r="K17" i="13" s="1"/>
  <c r="H31" i="13"/>
  <c r="K31" i="13" s="1"/>
  <c r="H16" i="13"/>
  <c r="K16" i="13" s="1"/>
  <c r="H20" i="13"/>
  <c r="K20" i="13" s="1"/>
  <c r="H22" i="13"/>
  <c r="K22" i="13" s="1"/>
  <c r="H5" i="13"/>
  <c r="K5" i="13" s="1"/>
  <c r="H10" i="13"/>
  <c r="K10" i="13" s="1"/>
  <c r="H3" i="13"/>
  <c r="K3" i="13" s="1"/>
  <c r="H14" i="13"/>
  <c r="K14" i="13" s="1"/>
  <c r="I12" i="10"/>
  <c r="P12" i="10" s="1"/>
  <c r="N3" i="10"/>
  <c r="U3" i="10" s="1"/>
  <c r="N4" i="10"/>
  <c r="U4" i="10" s="1"/>
  <c r="N5" i="10"/>
  <c r="U5" i="10" s="1"/>
  <c r="N6" i="10"/>
  <c r="U6" i="10" s="1"/>
  <c r="N7" i="10"/>
  <c r="U7" i="10" s="1"/>
  <c r="N8" i="10"/>
  <c r="U8" i="10" s="1"/>
  <c r="N9" i="10"/>
  <c r="U9" i="10" s="1"/>
  <c r="N10" i="10"/>
  <c r="U10" i="10" s="1"/>
  <c r="N11" i="10"/>
  <c r="U11" i="10" s="1"/>
  <c r="N12" i="10"/>
  <c r="U12" i="10" s="1"/>
  <c r="N13" i="10"/>
  <c r="U13" i="10" s="1"/>
  <c r="N14" i="10"/>
  <c r="U14" i="10" s="1"/>
  <c r="N15" i="10"/>
  <c r="U15" i="10" s="1"/>
  <c r="N16" i="10"/>
  <c r="U16" i="10" s="1"/>
  <c r="N17" i="10"/>
  <c r="U17" i="10" s="1"/>
  <c r="N18" i="10"/>
  <c r="U18" i="10" s="1"/>
  <c r="N19" i="10"/>
  <c r="U19" i="10" s="1"/>
  <c r="N20" i="10"/>
  <c r="U20" i="10" s="1"/>
  <c r="N21" i="10"/>
  <c r="U21" i="10" s="1"/>
  <c r="N22" i="10"/>
  <c r="U22" i="10" s="1"/>
  <c r="N23" i="10"/>
  <c r="U23" i="10" s="1"/>
  <c r="N24" i="10"/>
  <c r="U24" i="10" s="1"/>
  <c r="N25" i="10"/>
  <c r="U25" i="10" s="1"/>
  <c r="N26" i="10"/>
  <c r="U26" i="10" s="1"/>
  <c r="N27" i="10"/>
  <c r="U27" i="10" s="1"/>
  <c r="N29" i="10"/>
  <c r="U29" i="10" s="1"/>
  <c r="N30" i="10"/>
  <c r="U30" i="10" s="1"/>
  <c r="N31" i="10"/>
  <c r="U31" i="10" s="1"/>
  <c r="N32" i="10"/>
  <c r="U32" i="10" s="1"/>
  <c r="N33" i="10"/>
  <c r="U33" i="10" s="1"/>
  <c r="N34" i="10"/>
  <c r="U34" i="10" s="1"/>
  <c r="N35" i="10"/>
  <c r="U35" i="10" s="1"/>
  <c r="N36" i="10"/>
  <c r="U36" i="10" s="1"/>
  <c r="N37" i="10"/>
  <c r="U37" i="10" s="1"/>
  <c r="N38" i="10"/>
  <c r="U38" i="10" s="1"/>
  <c r="N39" i="10"/>
  <c r="U39" i="10" s="1"/>
  <c r="N40" i="10"/>
  <c r="U40" i="10" s="1"/>
  <c r="M3" i="10"/>
  <c r="T3" i="10" s="1"/>
  <c r="M4" i="10"/>
  <c r="T4" i="10" s="1"/>
  <c r="M5" i="10"/>
  <c r="T5" i="10" s="1"/>
  <c r="M6" i="10"/>
  <c r="T6" i="10" s="1"/>
  <c r="M7" i="10"/>
  <c r="T7" i="10" s="1"/>
  <c r="M8" i="10"/>
  <c r="T8" i="10" s="1"/>
  <c r="M9" i="10"/>
  <c r="T9" i="10" s="1"/>
  <c r="M10" i="10"/>
  <c r="T10" i="10" s="1"/>
  <c r="M11" i="10"/>
  <c r="T11" i="10" s="1"/>
  <c r="M12" i="10"/>
  <c r="T12" i="10" s="1"/>
  <c r="M13" i="10"/>
  <c r="T13" i="10" s="1"/>
  <c r="M14" i="10"/>
  <c r="T14" i="10" s="1"/>
  <c r="M15" i="10"/>
  <c r="T15" i="10" s="1"/>
  <c r="M16" i="10"/>
  <c r="T16" i="10" s="1"/>
  <c r="M17" i="10"/>
  <c r="T17" i="10" s="1"/>
  <c r="M18" i="10"/>
  <c r="T18" i="10" s="1"/>
  <c r="M19" i="10"/>
  <c r="T19" i="10" s="1"/>
  <c r="M20" i="10"/>
  <c r="T20" i="10" s="1"/>
  <c r="M21" i="10"/>
  <c r="T21" i="10" s="1"/>
  <c r="M22" i="10"/>
  <c r="T22" i="10" s="1"/>
  <c r="M23" i="10"/>
  <c r="T23" i="10" s="1"/>
  <c r="M24" i="10"/>
  <c r="T24" i="10" s="1"/>
  <c r="M25" i="10"/>
  <c r="T25" i="10" s="1"/>
  <c r="M26" i="10"/>
  <c r="T26" i="10" s="1"/>
  <c r="M27" i="10"/>
  <c r="T27" i="10" s="1"/>
  <c r="M28" i="10"/>
  <c r="T28" i="10" s="1"/>
  <c r="M29" i="10"/>
  <c r="T29" i="10" s="1"/>
  <c r="M30" i="10"/>
  <c r="T30" i="10" s="1"/>
  <c r="M31" i="10"/>
  <c r="T31" i="10" s="1"/>
  <c r="M32" i="10"/>
  <c r="T32" i="10" s="1"/>
  <c r="M34" i="10"/>
  <c r="T34" i="10" s="1"/>
  <c r="M35" i="10"/>
  <c r="T35" i="10" s="1"/>
  <c r="M36" i="10"/>
  <c r="T36" i="10" s="1"/>
  <c r="M37" i="10"/>
  <c r="T37" i="10" s="1"/>
  <c r="M38" i="10"/>
  <c r="T38" i="10" s="1"/>
  <c r="M39" i="10"/>
  <c r="T39" i="10" s="1"/>
  <c r="M40" i="10"/>
  <c r="T40" i="10" s="1"/>
  <c r="S3" i="10"/>
  <c r="L4" i="10"/>
  <c r="S4" i="10" s="1"/>
  <c r="L5" i="10"/>
  <c r="S5" i="10" s="1"/>
  <c r="L6" i="10"/>
  <c r="S6" i="10" s="1"/>
  <c r="L7" i="10"/>
  <c r="S7" i="10" s="1"/>
  <c r="L8" i="10"/>
  <c r="S8" i="10" s="1"/>
  <c r="L9" i="10"/>
  <c r="S9" i="10" s="1"/>
  <c r="L10" i="10"/>
  <c r="S10" i="10" s="1"/>
  <c r="L11" i="10"/>
  <c r="S11" i="10" s="1"/>
  <c r="L12" i="10"/>
  <c r="S12" i="10" s="1"/>
  <c r="L13" i="10"/>
  <c r="S13" i="10" s="1"/>
  <c r="L14" i="10"/>
  <c r="S14" i="10" s="1"/>
  <c r="L15" i="10"/>
  <c r="S15" i="10" s="1"/>
  <c r="L17" i="10"/>
  <c r="S17" i="10" s="1"/>
  <c r="L18" i="10"/>
  <c r="S18" i="10" s="1"/>
  <c r="L19" i="10"/>
  <c r="S19" i="10" s="1"/>
  <c r="L20" i="10"/>
  <c r="S20" i="10" s="1"/>
  <c r="L21" i="10"/>
  <c r="S21" i="10" s="1"/>
  <c r="L22" i="10"/>
  <c r="S22" i="10" s="1"/>
  <c r="L23" i="10"/>
  <c r="S23" i="10" s="1"/>
  <c r="L24" i="10"/>
  <c r="S24" i="10" s="1"/>
  <c r="L25" i="10"/>
  <c r="S25" i="10" s="1"/>
  <c r="L27" i="10"/>
  <c r="S27" i="10" s="1"/>
  <c r="L29" i="10"/>
  <c r="S29" i="10" s="1"/>
  <c r="L30" i="10"/>
  <c r="S30" i="10" s="1"/>
  <c r="L31" i="10"/>
  <c r="S31" i="10" s="1"/>
  <c r="L32" i="10"/>
  <c r="S32" i="10" s="1"/>
  <c r="L33" i="10"/>
  <c r="S33" i="10" s="1"/>
  <c r="L34" i="10"/>
  <c r="S34" i="10" s="1"/>
  <c r="L35" i="10"/>
  <c r="S35" i="10" s="1"/>
  <c r="L36" i="10"/>
  <c r="S36" i="10" s="1"/>
  <c r="L37" i="10"/>
  <c r="S37" i="10" s="1"/>
  <c r="L38" i="10"/>
  <c r="S38" i="10" s="1"/>
  <c r="L39" i="10"/>
  <c r="S39" i="10" s="1"/>
  <c r="W39" i="10" s="1"/>
  <c r="L40" i="10"/>
  <c r="S40" i="10" s="1"/>
  <c r="K3" i="10"/>
  <c r="R3" i="10" s="1"/>
  <c r="W3" i="10" s="1"/>
  <c r="K4" i="10"/>
  <c r="R4" i="10" s="1"/>
  <c r="K5" i="10"/>
  <c r="R5" i="10" s="1"/>
  <c r="K6" i="10"/>
  <c r="R6" i="10" s="1"/>
  <c r="K7" i="10"/>
  <c r="R7" i="10" s="1"/>
  <c r="K8" i="10"/>
  <c r="R8" i="10" s="1"/>
  <c r="K9" i="10"/>
  <c r="R9" i="10" s="1"/>
  <c r="K10" i="10"/>
  <c r="R10" i="10" s="1"/>
  <c r="K11" i="10"/>
  <c r="R11" i="10" s="1"/>
  <c r="K12" i="10"/>
  <c r="R12" i="10" s="1"/>
  <c r="K13" i="10"/>
  <c r="R13" i="10" s="1"/>
  <c r="K14" i="10"/>
  <c r="R14" i="10" s="1"/>
  <c r="K15" i="10"/>
  <c r="R15" i="10" s="1"/>
  <c r="K17" i="10"/>
  <c r="R17" i="10" s="1"/>
  <c r="K18" i="10"/>
  <c r="R18" i="10" s="1"/>
  <c r="K19" i="10"/>
  <c r="R19" i="10" s="1"/>
  <c r="K20" i="10"/>
  <c r="R20" i="10" s="1"/>
  <c r="K21" i="10"/>
  <c r="R21" i="10" s="1"/>
  <c r="K22" i="10"/>
  <c r="R22" i="10" s="1"/>
  <c r="K23" i="10"/>
  <c r="R23" i="10" s="1"/>
  <c r="W23" i="10" s="1"/>
  <c r="K24" i="10"/>
  <c r="R24" i="10" s="1"/>
  <c r="K25" i="10"/>
  <c r="R25" i="10" s="1"/>
  <c r="K26" i="10"/>
  <c r="R26" i="10" s="1"/>
  <c r="K27" i="10"/>
  <c r="R27" i="10" s="1"/>
  <c r="K28" i="10"/>
  <c r="R28" i="10" s="1"/>
  <c r="K29" i="10"/>
  <c r="R29" i="10" s="1"/>
  <c r="K30" i="10"/>
  <c r="R30" i="10" s="1"/>
  <c r="K31" i="10"/>
  <c r="R31" i="10" s="1"/>
  <c r="K32" i="10"/>
  <c r="R32" i="10" s="1"/>
  <c r="K33" i="10"/>
  <c r="R33" i="10" s="1"/>
  <c r="W33" i="10" s="1"/>
  <c r="K34" i="10"/>
  <c r="R34" i="10" s="1"/>
  <c r="K35" i="10"/>
  <c r="R35" i="10" s="1"/>
  <c r="K36" i="10"/>
  <c r="R36" i="10" s="1"/>
  <c r="K37" i="10"/>
  <c r="R37" i="10" s="1"/>
  <c r="K38" i="10"/>
  <c r="R38" i="10" s="1"/>
  <c r="K40" i="10"/>
  <c r="R40" i="10" s="1"/>
  <c r="I4" i="10"/>
  <c r="P4" i="10" s="1"/>
  <c r="I5" i="10"/>
  <c r="P5" i="10" s="1"/>
  <c r="I6" i="10"/>
  <c r="P6" i="10" s="1"/>
  <c r="I7" i="10"/>
  <c r="P7" i="10" s="1"/>
  <c r="I8" i="10"/>
  <c r="P8" i="10" s="1"/>
  <c r="I9" i="10"/>
  <c r="P9" i="10" s="1"/>
  <c r="I14" i="10"/>
  <c r="P14" i="10" s="1"/>
  <c r="I15" i="10"/>
  <c r="P15" i="10" s="1"/>
  <c r="I16" i="10"/>
  <c r="P16" i="10" s="1"/>
  <c r="W16" i="10" s="1"/>
  <c r="I17" i="10"/>
  <c r="P17" i="10" s="1"/>
  <c r="I18" i="10"/>
  <c r="P18" i="10" s="1"/>
  <c r="I19" i="10"/>
  <c r="P19" i="10" s="1"/>
  <c r="I21" i="10"/>
  <c r="P21" i="10" s="1"/>
  <c r="I22" i="10"/>
  <c r="P22" i="10" s="1"/>
  <c r="W22" i="10" s="1"/>
  <c r="I25" i="10"/>
  <c r="P25" i="10" s="1"/>
  <c r="I26" i="10"/>
  <c r="P26" i="10" s="1"/>
  <c r="I27" i="10"/>
  <c r="P27" i="10" s="1"/>
  <c r="I29" i="10"/>
  <c r="P29" i="10" s="1"/>
  <c r="I30" i="10"/>
  <c r="P30" i="10" s="1"/>
  <c r="I31" i="10"/>
  <c r="P31" i="10" s="1"/>
  <c r="I32" i="10"/>
  <c r="P32" i="10" s="1"/>
  <c r="I34" i="10"/>
  <c r="P34" i="10" s="1"/>
  <c r="I35" i="10"/>
  <c r="P35" i="10" s="1"/>
  <c r="I36" i="10"/>
  <c r="P36" i="10" s="1"/>
  <c r="I37" i="10"/>
  <c r="P37" i="10" s="1"/>
  <c r="I38" i="10"/>
  <c r="P38" i="10" s="1"/>
  <c r="I40" i="10"/>
  <c r="P40" i="10" s="1"/>
  <c r="J4" i="10"/>
  <c r="Q4" i="10" s="1"/>
  <c r="J5" i="10"/>
  <c r="Q5" i="10" s="1"/>
  <c r="J6" i="10"/>
  <c r="Q6" i="10" s="1"/>
  <c r="J7" i="10"/>
  <c r="Q7" i="10" s="1"/>
  <c r="J8" i="10"/>
  <c r="Q8" i="10" s="1"/>
  <c r="J9" i="10"/>
  <c r="Q9" i="10" s="1"/>
  <c r="J10" i="10"/>
  <c r="Q10" i="10" s="1"/>
  <c r="W10" i="10" s="1"/>
  <c r="J11" i="10"/>
  <c r="Q11" i="10" s="1"/>
  <c r="W11" i="10" s="1"/>
  <c r="J12" i="10"/>
  <c r="Q12" i="10" s="1"/>
  <c r="J13" i="10"/>
  <c r="Q13" i="10" s="1"/>
  <c r="W13" i="10" s="1"/>
  <c r="J14" i="10"/>
  <c r="Q14" i="10" s="1"/>
  <c r="J15" i="10"/>
  <c r="Q15" i="10" s="1"/>
  <c r="J17" i="10"/>
  <c r="Q17" i="10" s="1"/>
  <c r="J18" i="10"/>
  <c r="Q18" i="10" s="1"/>
  <c r="J19" i="10"/>
  <c r="Q19" i="10" s="1"/>
  <c r="J21" i="10"/>
  <c r="Q21" i="10" s="1"/>
  <c r="J25" i="10"/>
  <c r="Q25" i="10" s="1"/>
  <c r="J27" i="10"/>
  <c r="Q27" i="10" s="1"/>
  <c r="J29" i="10"/>
  <c r="Q29" i="10" s="1"/>
  <c r="J30" i="10"/>
  <c r="Q30" i="10" s="1"/>
  <c r="J32" i="10"/>
  <c r="Q32" i="10" s="1"/>
  <c r="J34" i="10"/>
  <c r="Q34" i="10" s="1"/>
  <c r="J35" i="10"/>
  <c r="Q35" i="10" s="1"/>
  <c r="J36" i="10"/>
  <c r="Q36" i="10" s="1"/>
  <c r="J37" i="10"/>
  <c r="Q37" i="10" s="1"/>
  <c r="J38" i="10"/>
  <c r="Q38" i="10" s="1"/>
  <c r="J40" i="10"/>
  <c r="Q40" i="10" s="1"/>
  <c r="Q4" i="9"/>
  <c r="AD4" i="9" s="1"/>
  <c r="R4" i="9"/>
  <c r="AE4" i="9" s="1"/>
  <c r="S4" i="9"/>
  <c r="AF4" i="9" s="1"/>
  <c r="T4" i="9"/>
  <c r="AG4" i="9" s="1"/>
  <c r="U4" i="9"/>
  <c r="AH4" i="9" s="1"/>
  <c r="V4" i="9"/>
  <c r="AI4" i="9" s="1"/>
  <c r="W4" i="9"/>
  <c r="AJ4" i="9" s="1"/>
  <c r="X4" i="9"/>
  <c r="AK4" i="9" s="1"/>
  <c r="Y4" i="9"/>
  <c r="AL4" i="9" s="1"/>
  <c r="Z4" i="9"/>
  <c r="AM4" i="9" s="1"/>
  <c r="AA4" i="9"/>
  <c r="AN4" i="9" s="1"/>
  <c r="AB4" i="9"/>
  <c r="AO4" i="9" s="1"/>
  <c r="Q5" i="9"/>
  <c r="AD5" i="9" s="1"/>
  <c r="R5" i="9"/>
  <c r="AE5" i="9" s="1"/>
  <c r="S5" i="9"/>
  <c r="AF5" i="9" s="1"/>
  <c r="T5" i="9"/>
  <c r="AG5" i="9" s="1"/>
  <c r="U5" i="9"/>
  <c r="AH5" i="9" s="1"/>
  <c r="V5" i="9"/>
  <c r="AI5" i="9" s="1"/>
  <c r="W5" i="9"/>
  <c r="AJ5" i="9" s="1"/>
  <c r="X5" i="9"/>
  <c r="AK5" i="9" s="1"/>
  <c r="Y5" i="9"/>
  <c r="AL5" i="9" s="1"/>
  <c r="Z5" i="9"/>
  <c r="AM5" i="9" s="1"/>
  <c r="AA5" i="9"/>
  <c r="AN5" i="9" s="1"/>
  <c r="AB5" i="9"/>
  <c r="AO5" i="9" s="1"/>
  <c r="Q6" i="9"/>
  <c r="AD6" i="9" s="1"/>
  <c r="S6" i="9"/>
  <c r="AF6" i="9" s="1"/>
  <c r="W6" i="9"/>
  <c r="AJ6" i="9" s="1"/>
  <c r="Y6" i="9"/>
  <c r="AL6" i="9" s="1"/>
  <c r="Z6" i="9"/>
  <c r="AM6" i="9" s="1"/>
  <c r="AA6" i="9"/>
  <c r="AN6" i="9" s="1"/>
  <c r="Q7" i="9"/>
  <c r="AD7" i="9" s="1"/>
  <c r="S7" i="9"/>
  <c r="AF7" i="9" s="1"/>
  <c r="T7" i="9"/>
  <c r="AG7" i="9" s="1"/>
  <c r="U7" i="9"/>
  <c r="AH7" i="9" s="1"/>
  <c r="V7" i="9"/>
  <c r="AI7" i="9" s="1"/>
  <c r="W7" i="9"/>
  <c r="AJ7" i="9" s="1"/>
  <c r="X7" i="9"/>
  <c r="AK7" i="9" s="1"/>
  <c r="Y7" i="9"/>
  <c r="AL7" i="9" s="1"/>
  <c r="Z7" i="9"/>
  <c r="AM7" i="9" s="1"/>
  <c r="AA7" i="9"/>
  <c r="AN7" i="9" s="1"/>
  <c r="AB7" i="9"/>
  <c r="AO7" i="9" s="1"/>
  <c r="Q8" i="9"/>
  <c r="AD8" i="9" s="1"/>
  <c r="R8" i="9"/>
  <c r="AE8" i="9" s="1"/>
  <c r="S8" i="9"/>
  <c r="AF8" i="9" s="1"/>
  <c r="T8" i="9"/>
  <c r="AG8" i="9" s="1"/>
  <c r="U8" i="9"/>
  <c r="AH8" i="9" s="1"/>
  <c r="V8" i="9"/>
  <c r="AI8" i="9" s="1"/>
  <c r="W8" i="9"/>
  <c r="AJ8" i="9" s="1"/>
  <c r="X8" i="9"/>
  <c r="AK8" i="9" s="1"/>
  <c r="Y8" i="9"/>
  <c r="AL8" i="9" s="1"/>
  <c r="Z8" i="9"/>
  <c r="AM8" i="9" s="1"/>
  <c r="AA8" i="9"/>
  <c r="AN8" i="9" s="1"/>
  <c r="AB8" i="9"/>
  <c r="AO8" i="9" s="1"/>
  <c r="Q9" i="9"/>
  <c r="AD9" i="9" s="1"/>
  <c r="S9" i="9"/>
  <c r="AF9" i="9" s="1"/>
  <c r="T9" i="9"/>
  <c r="AG9" i="9" s="1"/>
  <c r="U9" i="9"/>
  <c r="AH9" i="9" s="1"/>
  <c r="V9" i="9"/>
  <c r="AI9" i="9" s="1"/>
  <c r="W9" i="9"/>
  <c r="AJ9" i="9" s="1"/>
  <c r="X9" i="9"/>
  <c r="AK9" i="9" s="1"/>
  <c r="Y9" i="9"/>
  <c r="AL9" i="9" s="1"/>
  <c r="Z9" i="9"/>
  <c r="AM9" i="9" s="1"/>
  <c r="AA9" i="9"/>
  <c r="AN9" i="9" s="1"/>
  <c r="AB9" i="9"/>
  <c r="AO9" i="9" s="1"/>
  <c r="R10" i="9"/>
  <c r="AE10" i="9" s="1"/>
  <c r="T10" i="9"/>
  <c r="AG10" i="9" s="1"/>
  <c r="U10" i="9"/>
  <c r="AH10" i="9" s="1"/>
  <c r="V10" i="9"/>
  <c r="AI10" i="9" s="1"/>
  <c r="W10" i="9"/>
  <c r="AJ10" i="9" s="1"/>
  <c r="X10" i="9"/>
  <c r="AK10" i="9" s="1"/>
  <c r="Y10" i="9"/>
  <c r="AL10" i="9" s="1"/>
  <c r="Z10" i="9"/>
  <c r="AM10" i="9" s="1"/>
  <c r="AA10" i="9"/>
  <c r="AN10" i="9" s="1"/>
  <c r="AB10" i="9"/>
  <c r="AO10" i="9" s="1"/>
  <c r="Q11" i="9"/>
  <c r="AD11" i="9" s="1"/>
  <c r="R11" i="9"/>
  <c r="AE11" i="9" s="1"/>
  <c r="S11" i="9"/>
  <c r="AF11" i="9" s="1"/>
  <c r="T11" i="9"/>
  <c r="AG11" i="9" s="1"/>
  <c r="U11" i="9"/>
  <c r="AH11" i="9" s="1"/>
  <c r="V11" i="9"/>
  <c r="AI11" i="9" s="1"/>
  <c r="W11" i="9"/>
  <c r="AJ11" i="9" s="1"/>
  <c r="X11" i="9"/>
  <c r="AK11" i="9" s="1"/>
  <c r="Y11" i="9"/>
  <c r="AL11" i="9" s="1"/>
  <c r="Z11" i="9"/>
  <c r="AM11" i="9" s="1"/>
  <c r="AA11" i="9"/>
  <c r="AN11" i="9" s="1"/>
  <c r="AB11" i="9"/>
  <c r="AO11" i="9" s="1"/>
  <c r="Q12" i="9"/>
  <c r="AD12" i="9" s="1"/>
  <c r="R12" i="9"/>
  <c r="AE12" i="9" s="1"/>
  <c r="S12" i="9"/>
  <c r="AF12" i="9" s="1"/>
  <c r="T12" i="9"/>
  <c r="AG12" i="9" s="1"/>
  <c r="U12" i="9"/>
  <c r="AH12" i="9" s="1"/>
  <c r="V12" i="9"/>
  <c r="AI12" i="9" s="1"/>
  <c r="W12" i="9"/>
  <c r="AJ12" i="9" s="1"/>
  <c r="X12" i="9"/>
  <c r="AK12" i="9" s="1"/>
  <c r="Y12" i="9"/>
  <c r="AL12" i="9" s="1"/>
  <c r="Z12" i="9"/>
  <c r="AM12" i="9" s="1"/>
  <c r="AA12" i="9"/>
  <c r="AN12" i="9" s="1"/>
  <c r="R13" i="9"/>
  <c r="AE13" i="9" s="1"/>
  <c r="S13" i="9"/>
  <c r="AF13" i="9" s="1"/>
  <c r="T13" i="9"/>
  <c r="AG13" i="9" s="1"/>
  <c r="U13" i="9"/>
  <c r="AH13" i="9" s="1"/>
  <c r="V13" i="9"/>
  <c r="AI13" i="9" s="1"/>
  <c r="W13" i="9"/>
  <c r="AJ13" i="9" s="1"/>
  <c r="X13" i="9"/>
  <c r="AK13" i="9" s="1"/>
  <c r="Y13" i="9"/>
  <c r="AL13" i="9" s="1"/>
  <c r="Z13" i="9"/>
  <c r="AM13" i="9" s="1"/>
  <c r="AA13" i="9"/>
  <c r="AN13" i="9" s="1"/>
  <c r="AB13" i="9"/>
  <c r="AO13" i="9" s="1"/>
  <c r="Q14" i="9"/>
  <c r="AD14" i="9" s="1"/>
  <c r="R14" i="9"/>
  <c r="AE14" i="9" s="1"/>
  <c r="S14" i="9"/>
  <c r="AF14" i="9" s="1"/>
  <c r="T14" i="9"/>
  <c r="AG14" i="9" s="1"/>
  <c r="U14" i="9"/>
  <c r="AH14" i="9" s="1"/>
  <c r="V14" i="9"/>
  <c r="AI14" i="9" s="1"/>
  <c r="W14" i="9"/>
  <c r="AJ14" i="9" s="1"/>
  <c r="X14" i="9"/>
  <c r="AK14" i="9" s="1"/>
  <c r="Y14" i="9"/>
  <c r="AL14" i="9" s="1"/>
  <c r="Z14" i="9"/>
  <c r="AM14" i="9" s="1"/>
  <c r="AA14" i="9"/>
  <c r="AN14" i="9" s="1"/>
  <c r="AB14" i="9"/>
  <c r="AO14" i="9" s="1"/>
  <c r="Q15" i="9"/>
  <c r="AD15" i="9" s="1"/>
  <c r="R15" i="9"/>
  <c r="AE15" i="9" s="1"/>
  <c r="S15" i="9"/>
  <c r="AF15" i="9" s="1"/>
  <c r="T15" i="9"/>
  <c r="AG15" i="9" s="1"/>
  <c r="U15" i="9"/>
  <c r="AH15" i="9" s="1"/>
  <c r="V15" i="9"/>
  <c r="AI15" i="9" s="1"/>
  <c r="W15" i="9"/>
  <c r="AJ15" i="9" s="1"/>
  <c r="X15" i="9"/>
  <c r="AK15" i="9" s="1"/>
  <c r="Y15" i="9"/>
  <c r="AL15" i="9" s="1"/>
  <c r="Z15" i="9"/>
  <c r="AM15" i="9" s="1"/>
  <c r="AA15" i="9"/>
  <c r="AN15" i="9" s="1"/>
  <c r="AB15" i="9"/>
  <c r="AO15" i="9" s="1"/>
  <c r="Q16" i="9"/>
  <c r="AD16" i="9" s="1"/>
  <c r="AQ16" i="9" s="1"/>
  <c r="R16" i="9"/>
  <c r="AE16" i="9" s="1"/>
  <c r="S16" i="9"/>
  <c r="AF16" i="9" s="1"/>
  <c r="T16" i="9"/>
  <c r="AG16" i="9" s="1"/>
  <c r="U16" i="9"/>
  <c r="AH16" i="9" s="1"/>
  <c r="V16" i="9"/>
  <c r="AI16" i="9" s="1"/>
  <c r="W16" i="9"/>
  <c r="AJ16" i="9" s="1"/>
  <c r="X16" i="9"/>
  <c r="AK16" i="9" s="1"/>
  <c r="Y16" i="9"/>
  <c r="AL16" i="9" s="1"/>
  <c r="Z16" i="9"/>
  <c r="AM16" i="9" s="1"/>
  <c r="AA16" i="9"/>
  <c r="AN16" i="9" s="1"/>
  <c r="Q17" i="9"/>
  <c r="AD17" i="9" s="1"/>
  <c r="R17" i="9"/>
  <c r="AE17" i="9" s="1"/>
  <c r="S17" i="9"/>
  <c r="AF17" i="9" s="1"/>
  <c r="T17" i="9"/>
  <c r="AG17" i="9" s="1"/>
  <c r="U17" i="9"/>
  <c r="AH17" i="9" s="1"/>
  <c r="V17" i="9"/>
  <c r="AI17" i="9" s="1"/>
  <c r="W17" i="9"/>
  <c r="AJ17" i="9" s="1"/>
  <c r="X17" i="9"/>
  <c r="AK17" i="9" s="1"/>
  <c r="Y17" i="9"/>
  <c r="AL17" i="9" s="1"/>
  <c r="Z17" i="9"/>
  <c r="AM17" i="9" s="1"/>
  <c r="AA17" i="9"/>
  <c r="AN17" i="9" s="1"/>
  <c r="AB17" i="9"/>
  <c r="AO17" i="9" s="1"/>
  <c r="Q18" i="9"/>
  <c r="AD18" i="9" s="1"/>
  <c r="R18" i="9"/>
  <c r="AE18" i="9" s="1"/>
  <c r="S18" i="9"/>
  <c r="AF18" i="9" s="1"/>
  <c r="T18" i="9"/>
  <c r="AG18" i="9" s="1"/>
  <c r="U18" i="9"/>
  <c r="AH18" i="9" s="1"/>
  <c r="V18" i="9"/>
  <c r="AI18" i="9" s="1"/>
  <c r="W18" i="9"/>
  <c r="AJ18" i="9" s="1"/>
  <c r="X18" i="9"/>
  <c r="AK18" i="9" s="1"/>
  <c r="Y18" i="9"/>
  <c r="AL18" i="9" s="1"/>
  <c r="Z18" i="9"/>
  <c r="AM18" i="9" s="1"/>
  <c r="AA18" i="9"/>
  <c r="AN18" i="9" s="1"/>
  <c r="AB18" i="9"/>
  <c r="AO18" i="9" s="1"/>
  <c r="Q19" i="9"/>
  <c r="AD19" i="9" s="1"/>
  <c r="T19" i="9"/>
  <c r="AG19" i="9" s="1"/>
  <c r="U19" i="9"/>
  <c r="AH19" i="9" s="1"/>
  <c r="Q20" i="9"/>
  <c r="AD20" i="9" s="1"/>
  <c r="R20" i="9"/>
  <c r="AE20" i="9" s="1"/>
  <c r="S20" i="9"/>
  <c r="AF20" i="9" s="1"/>
  <c r="T20" i="9"/>
  <c r="AG20" i="9" s="1"/>
  <c r="U20" i="9"/>
  <c r="AH20" i="9" s="1"/>
  <c r="V20" i="9"/>
  <c r="AI20" i="9" s="1"/>
  <c r="W20" i="9"/>
  <c r="AJ20" i="9" s="1"/>
  <c r="X20" i="9"/>
  <c r="AK20" i="9" s="1"/>
  <c r="Y20" i="9"/>
  <c r="AL20" i="9" s="1"/>
  <c r="Z20" i="9"/>
  <c r="AM20" i="9" s="1"/>
  <c r="AA20" i="9"/>
  <c r="AN20" i="9" s="1"/>
  <c r="AB20" i="9"/>
  <c r="AO20" i="9" s="1"/>
  <c r="Q21" i="9"/>
  <c r="AD21" i="9" s="1"/>
  <c r="R21" i="9"/>
  <c r="AE21" i="9" s="1"/>
  <c r="T21" i="9"/>
  <c r="AG21" i="9" s="1"/>
  <c r="U21" i="9"/>
  <c r="AH21" i="9" s="1"/>
  <c r="V21" i="9"/>
  <c r="AI21" i="9" s="1"/>
  <c r="W21" i="9"/>
  <c r="AJ21" i="9" s="1"/>
  <c r="X21" i="9"/>
  <c r="AK21" i="9" s="1"/>
  <c r="Y21" i="9"/>
  <c r="AL21" i="9" s="1"/>
  <c r="Z21" i="9"/>
  <c r="AM21" i="9" s="1"/>
  <c r="AA21" i="9"/>
  <c r="AN21" i="9" s="1"/>
  <c r="AB21" i="9"/>
  <c r="AO21" i="9" s="1"/>
  <c r="Q22" i="9"/>
  <c r="AD22" i="9" s="1"/>
  <c r="R22" i="9"/>
  <c r="AE22" i="9" s="1"/>
  <c r="S22" i="9"/>
  <c r="AF22" i="9" s="1"/>
  <c r="T22" i="9"/>
  <c r="AG22" i="9" s="1"/>
  <c r="U22" i="9"/>
  <c r="AH22" i="9" s="1"/>
  <c r="V22" i="9"/>
  <c r="AI22" i="9" s="1"/>
  <c r="W22" i="9"/>
  <c r="AJ22" i="9" s="1"/>
  <c r="X22" i="9"/>
  <c r="AK22" i="9" s="1"/>
  <c r="Y22" i="9"/>
  <c r="AL22" i="9" s="1"/>
  <c r="Z22" i="9"/>
  <c r="AM22" i="9" s="1"/>
  <c r="R23" i="9"/>
  <c r="AE23" i="9" s="1"/>
  <c r="S23" i="9"/>
  <c r="AF23" i="9" s="1"/>
  <c r="T23" i="9"/>
  <c r="AG23" i="9" s="1"/>
  <c r="U23" i="9"/>
  <c r="AH23" i="9" s="1"/>
  <c r="W23" i="9"/>
  <c r="AJ23" i="9" s="1"/>
  <c r="X23" i="9"/>
  <c r="AK23" i="9" s="1"/>
  <c r="Z23" i="9"/>
  <c r="AM23" i="9" s="1"/>
  <c r="AA23" i="9"/>
  <c r="AN23" i="9" s="1"/>
  <c r="Q24" i="9"/>
  <c r="AD24" i="9" s="1"/>
  <c r="R24" i="9"/>
  <c r="AE24" i="9" s="1"/>
  <c r="S24" i="9"/>
  <c r="AF24" i="9" s="1"/>
  <c r="T24" i="9"/>
  <c r="AG24" i="9" s="1"/>
  <c r="U24" i="9"/>
  <c r="AH24" i="9" s="1"/>
  <c r="V24" i="9"/>
  <c r="AI24" i="9" s="1"/>
  <c r="W24" i="9"/>
  <c r="AJ24" i="9" s="1"/>
  <c r="X24" i="9"/>
  <c r="AK24" i="9" s="1"/>
  <c r="Y24" i="9"/>
  <c r="AL24" i="9" s="1"/>
  <c r="Z24" i="9"/>
  <c r="AM24" i="9" s="1"/>
  <c r="AA24" i="9"/>
  <c r="AN24" i="9" s="1"/>
  <c r="AB24" i="9"/>
  <c r="AO24" i="9" s="1"/>
  <c r="Q25" i="9"/>
  <c r="AD25" i="9" s="1"/>
  <c r="S25" i="9"/>
  <c r="AF25" i="9" s="1"/>
  <c r="T25" i="9"/>
  <c r="AG25" i="9" s="1"/>
  <c r="U25" i="9"/>
  <c r="AH25" i="9" s="1"/>
  <c r="V25" i="9"/>
  <c r="AI25" i="9" s="1"/>
  <c r="W25" i="9"/>
  <c r="AJ25" i="9" s="1"/>
  <c r="X25" i="9"/>
  <c r="AK25" i="9" s="1"/>
  <c r="Y25" i="9"/>
  <c r="AL25" i="9" s="1"/>
  <c r="Z25" i="9"/>
  <c r="AM25" i="9" s="1"/>
  <c r="AB25" i="9"/>
  <c r="AO25" i="9" s="1"/>
  <c r="W26" i="9"/>
  <c r="AJ26" i="9" s="1"/>
  <c r="AQ26" i="9" s="1"/>
  <c r="Q27" i="9"/>
  <c r="AD27" i="9" s="1"/>
  <c r="R27" i="9"/>
  <c r="AE27" i="9" s="1"/>
  <c r="S27" i="9"/>
  <c r="AF27" i="9" s="1"/>
  <c r="T27" i="9"/>
  <c r="AG27" i="9" s="1"/>
  <c r="U27" i="9"/>
  <c r="AH27" i="9" s="1"/>
  <c r="V27" i="9"/>
  <c r="AI27" i="9" s="1"/>
  <c r="W27" i="9"/>
  <c r="AJ27" i="9" s="1"/>
  <c r="X27" i="9"/>
  <c r="AK27" i="9" s="1"/>
  <c r="Y27" i="9"/>
  <c r="AL27" i="9" s="1"/>
  <c r="Z27" i="9"/>
  <c r="AM27" i="9" s="1"/>
  <c r="AA27" i="9"/>
  <c r="AN27" i="9" s="1"/>
  <c r="AB27" i="9"/>
  <c r="AO27" i="9" s="1"/>
  <c r="Q28" i="9"/>
  <c r="AD28" i="9" s="1"/>
  <c r="S28" i="9"/>
  <c r="AF28" i="9" s="1"/>
  <c r="U28" i="9"/>
  <c r="AH28" i="9" s="1"/>
  <c r="W28" i="9"/>
  <c r="AJ28" i="9" s="1"/>
  <c r="X28" i="9"/>
  <c r="AK28" i="9" s="1"/>
  <c r="Q29" i="9"/>
  <c r="AD29" i="9" s="1"/>
  <c r="R29" i="9"/>
  <c r="AE29" i="9" s="1"/>
  <c r="S29" i="9"/>
  <c r="AF29" i="9" s="1"/>
  <c r="T29" i="9"/>
  <c r="AG29" i="9" s="1"/>
  <c r="U29" i="9"/>
  <c r="AH29" i="9" s="1"/>
  <c r="V29" i="9"/>
  <c r="AI29" i="9" s="1"/>
  <c r="W29" i="9"/>
  <c r="AJ29" i="9" s="1"/>
  <c r="X29" i="9"/>
  <c r="AK29" i="9" s="1"/>
  <c r="Y29" i="9"/>
  <c r="AL29" i="9" s="1"/>
  <c r="Z29" i="9"/>
  <c r="AM29" i="9" s="1"/>
  <c r="AA29" i="9"/>
  <c r="AN29" i="9" s="1"/>
  <c r="Q30" i="9"/>
  <c r="AD30" i="9" s="1"/>
  <c r="R30" i="9"/>
  <c r="AE30" i="9" s="1"/>
  <c r="S30" i="9"/>
  <c r="AF30" i="9" s="1"/>
  <c r="T30" i="9"/>
  <c r="AG30" i="9" s="1"/>
  <c r="U30" i="9"/>
  <c r="AH30" i="9" s="1"/>
  <c r="V30" i="9"/>
  <c r="AI30" i="9" s="1"/>
  <c r="W30" i="9"/>
  <c r="AJ30" i="9" s="1"/>
  <c r="X30" i="9"/>
  <c r="AK30" i="9" s="1"/>
  <c r="Y30" i="9"/>
  <c r="AL30" i="9" s="1"/>
  <c r="Z30" i="9"/>
  <c r="AM30" i="9" s="1"/>
  <c r="AA30" i="9"/>
  <c r="AN30" i="9" s="1"/>
  <c r="AB30" i="9"/>
  <c r="AO30" i="9" s="1"/>
  <c r="Q31" i="9"/>
  <c r="AD31" i="9" s="1"/>
  <c r="R31" i="9"/>
  <c r="AE31" i="9" s="1"/>
  <c r="S31" i="9"/>
  <c r="AF31" i="9" s="1"/>
  <c r="T31" i="9"/>
  <c r="AG31" i="9" s="1"/>
  <c r="U31" i="9"/>
  <c r="AH31" i="9" s="1"/>
  <c r="V31" i="9"/>
  <c r="AI31" i="9" s="1"/>
  <c r="W31" i="9"/>
  <c r="AJ31" i="9" s="1"/>
  <c r="X31" i="9"/>
  <c r="AK31" i="9" s="1"/>
  <c r="Y31" i="9"/>
  <c r="AL31" i="9" s="1"/>
  <c r="Z31" i="9"/>
  <c r="AM31" i="9" s="1"/>
  <c r="AA31" i="9"/>
  <c r="AN31" i="9" s="1"/>
  <c r="AB31" i="9"/>
  <c r="AO31" i="9" s="1"/>
  <c r="Q32" i="9"/>
  <c r="AD32" i="9" s="1"/>
  <c r="R32" i="9"/>
  <c r="AE32" i="9" s="1"/>
  <c r="S32" i="9"/>
  <c r="AF32" i="9" s="1"/>
  <c r="T32" i="9"/>
  <c r="AG32" i="9" s="1"/>
  <c r="U32" i="9"/>
  <c r="AH32" i="9" s="1"/>
  <c r="V32" i="9"/>
  <c r="AI32" i="9" s="1"/>
  <c r="W32" i="9"/>
  <c r="AJ32" i="9" s="1"/>
  <c r="X32" i="9"/>
  <c r="AK32" i="9" s="1"/>
  <c r="Y32" i="9"/>
  <c r="AL32" i="9" s="1"/>
  <c r="Z32" i="9"/>
  <c r="AM32" i="9" s="1"/>
  <c r="AA32" i="9"/>
  <c r="AN32" i="9" s="1"/>
  <c r="AB32" i="9"/>
  <c r="AO32" i="9" s="1"/>
  <c r="Q33" i="9"/>
  <c r="AD33" i="9" s="1"/>
  <c r="S33" i="9"/>
  <c r="AF33" i="9" s="1"/>
  <c r="V33" i="9"/>
  <c r="AI33" i="9" s="1"/>
  <c r="X33" i="9"/>
  <c r="AK33" i="9" s="1"/>
  <c r="Z33" i="9"/>
  <c r="AM33" i="9" s="1"/>
  <c r="AA33" i="9"/>
  <c r="AN33" i="9" s="1"/>
  <c r="AB33" i="9"/>
  <c r="AO33" i="9" s="1"/>
  <c r="Q34" i="9"/>
  <c r="AD34" i="9" s="1"/>
  <c r="R34" i="9"/>
  <c r="AE34" i="9" s="1"/>
  <c r="S34" i="9"/>
  <c r="AF34" i="9" s="1"/>
  <c r="T34" i="9"/>
  <c r="AG34" i="9" s="1"/>
  <c r="U34" i="9"/>
  <c r="AH34" i="9" s="1"/>
  <c r="V34" i="9"/>
  <c r="AI34" i="9" s="1"/>
  <c r="W34" i="9"/>
  <c r="AJ34" i="9" s="1"/>
  <c r="X34" i="9"/>
  <c r="AK34" i="9" s="1"/>
  <c r="Y34" i="9"/>
  <c r="AL34" i="9" s="1"/>
  <c r="Z34" i="9"/>
  <c r="AM34" i="9" s="1"/>
  <c r="AA34" i="9"/>
  <c r="AN34" i="9" s="1"/>
  <c r="AB34" i="9"/>
  <c r="AO34" i="9" s="1"/>
  <c r="Q35" i="9"/>
  <c r="AD35" i="9" s="1"/>
  <c r="R35" i="9"/>
  <c r="AE35" i="9" s="1"/>
  <c r="S35" i="9"/>
  <c r="AF35" i="9" s="1"/>
  <c r="T35" i="9"/>
  <c r="AG35" i="9" s="1"/>
  <c r="U35" i="9"/>
  <c r="AH35" i="9" s="1"/>
  <c r="V35" i="9"/>
  <c r="AI35" i="9" s="1"/>
  <c r="W35" i="9"/>
  <c r="AJ35" i="9" s="1"/>
  <c r="X35" i="9"/>
  <c r="AK35" i="9" s="1"/>
  <c r="Y35" i="9"/>
  <c r="AL35" i="9" s="1"/>
  <c r="Z35" i="9"/>
  <c r="AM35" i="9" s="1"/>
  <c r="Q36" i="9"/>
  <c r="AD36" i="9" s="1"/>
  <c r="R36" i="9"/>
  <c r="AE36" i="9" s="1"/>
  <c r="S36" i="9"/>
  <c r="AF36" i="9" s="1"/>
  <c r="T36" i="9"/>
  <c r="AG36" i="9" s="1"/>
  <c r="U36" i="9"/>
  <c r="AH36" i="9" s="1"/>
  <c r="V36" i="9"/>
  <c r="AI36" i="9" s="1"/>
  <c r="W36" i="9"/>
  <c r="AJ36" i="9" s="1"/>
  <c r="X36" i="9"/>
  <c r="AK36" i="9" s="1"/>
  <c r="Y36" i="9"/>
  <c r="AL36" i="9" s="1"/>
  <c r="Z36" i="9"/>
  <c r="AM36" i="9" s="1"/>
  <c r="AA36" i="9"/>
  <c r="AN36" i="9" s="1"/>
  <c r="AB36" i="9"/>
  <c r="AO36" i="9" s="1"/>
  <c r="Q37" i="9"/>
  <c r="AD37" i="9" s="1"/>
  <c r="R37" i="9"/>
  <c r="AE37" i="9" s="1"/>
  <c r="S37" i="9"/>
  <c r="AF37" i="9" s="1"/>
  <c r="T37" i="9"/>
  <c r="AG37" i="9" s="1"/>
  <c r="U37" i="9"/>
  <c r="AH37" i="9" s="1"/>
  <c r="V37" i="9"/>
  <c r="AI37" i="9" s="1"/>
  <c r="W37" i="9"/>
  <c r="AJ37" i="9" s="1"/>
  <c r="X37" i="9"/>
  <c r="AK37" i="9" s="1"/>
  <c r="Y37" i="9"/>
  <c r="AL37" i="9" s="1"/>
  <c r="Z37" i="9"/>
  <c r="AM37" i="9" s="1"/>
  <c r="AA37" i="9"/>
  <c r="AN37" i="9" s="1"/>
  <c r="AB37" i="9"/>
  <c r="AO37" i="9" s="1"/>
  <c r="Q38" i="9"/>
  <c r="AD38" i="9" s="1"/>
  <c r="R38" i="9"/>
  <c r="AE38" i="9" s="1"/>
  <c r="S38" i="9"/>
  <c r="AF38" i="9" s="1"/>
  <c r="T38" i="9"/>
  <c r="AG38" i="9" s="1"/>
  <c r="U38" i="9"/>
  <c r="AH38" i="9" s="1"/>
  <c r="V38" i="9"/>
  <c r="AI38" i="9" s="1"/>
  <c r="W38" i="9"/>
  <c r="AJ38" i="9" s="1"/>
  <c r="X38" i="9"/>
  <c r="AK38" i="9" s="1"/>
  <c r="Y38" i="9"/>
  <c r="AL38" i="9" s="1"/>
  <c r="Z38" i="9"/>
  <c r="AM38" i="9" s="1"/>
  <c r="AA38" i="9"/>
  <c r="AN38" i="9" s="1"/>
  <c r="AB38" i="9"/>
  <c r="AO38" i="9" s="1"/>
  <c r="Q39" i="9"/>
  <c r="AD39" i="9" s="1"/>
  <c r="R39" i="9"/>
  <c r="AE39" i="9" s="1"/>
  <c r="S39" i="9"/>
  <c r="AF39" i="9" s="1"/>
  <c r="T39" i="9"/>
  <c r="AG39" i="9" s="1"/>
  <c r="U39" i="9"/>
  <c r="AH39" i="9" s="1"/>
  <c r="V39" i="9"/>
  <c r="AI39" i="9" s="1"/>
  <c r="W39" i="9"/>
  <c r="AJ39" i="9" s="1"/>
  <c r="X39" i="9"/>
  <c r="AK39" i="9" s="1"/>
  <c r="Y39" i="9"/>
  <c r="AL39" i="9" s="1"/>
  <c r="Z39" i="9"/>
  <c r="AM39" i="9" s="1"/>
  <c r="AA39" i="9"/>
  <c r="AN39" i="9" s="1"/>
  <c r="AB39" i="9"/>
  <c r="AO39" i="9" s="1"/>
  <c r="Q40" i="9"/>
  <c r="AD40" i="9" s="1"/>
  <c r="R40" i="9"/>
  <c r="AE40" i="9" s="1"/>
  <c r="S40" i="9"/>
  <c r="AF40" i="9" s="1"/>
  <c r="T40" i="9"/>
  <c r="AG40" i="9" s="1"/>
  <c r="U40" i="9"/>
  <c r="AH40" i="9" s="1"/>
  <c r="V40" i="9"/>
  <c r="AI40" i="9" s="1"/>
  <c r="W40" i="9"/>
  <c r="AJ40" i="9" s="1"/>
  <c r="X40" i="9"/>
  <c r="AK40" i="9" s="1"/>
  <c r="Y40" i="9"/>
  <c r="AL40" i="9" s="1"/>
  <c r="Z40" i="9"/>
  <c r="AM40" i="9" s="1"/>
  <c r="AA40" i="9"/>
  <c r="AN40" i="9" s="1"/>
  <c r="AB40" i="9"/>
  <c r="AO40" i="9" s="1"/>
  <c r="Z3" i="9"/>
  <c r="AM3" i="9" s="1"/>
  <c r="W3" i="9"/>
  <c r="AJ3" i="9" s="1"/>
  <c r="T3" i="9"/>
  <c r="AG3" i="9" s="1"/>
  <c r="AQ3" i="9" s="1"/>
  <c r="N5" i="9"/>
  <c r="N7" i="9"/>
  <c r="N10" i="9"/>
  <c r="N11" i="9"/>
  <c r="N15" i="9"/>
  <c r="N12" i="9"/>
  <c r="N19" i="9"/>
  <c r="N16" i="9"/>
  <c r="N36" i="9"/>
  <c r="N14" i="9"/>
  <c r="N8" i="9"/>
  <c r="N20" i="9"/>
  <c r="N9" i="9"/>
  <c r="N22" i="9"/>
  <c r="N23" i="9"/>
  <c r="N24" i="9"/>
  <c r="N17" i="9"/>
  <c r="N25" i="9"/>
  <c r="N27" i="9"/>
  <c r="N4" i="9"/>
  <c r="N30" i="9"/>
  <c r="N31" i="9"/>
  <c r="N32" i="9"/>
  <c r="N35" i="9"/>
  <c r="N34" i="9"/>
  <c r="N13" i="9"/>
  <c r="N37" i="9"/>
  <c r="N18" i="9"/>
  <c r="N29" i="9"/>
  <c r="N38" i="9"/>
  <c r="N40" i="9"/>
  <c r="N6" i="9"/>
  <c r="N26" i="9"/>
  <c r="N28" i="9"/>
  <c r="N3" i="9"/>
  <c r="N33" i="9"/>
  <c r="N39" i="9"/>
  <c r="N21" i="9"/>
  <c r="P19" i="8"/>
  <c r="O21" i="8"/>
  <c r="P21" i="8" s="1"/>
  <c r="P5" i="8"/>
  <c r="O9" i="8"/>
  <c r="P9" i="8" s="1"/>
  <c r="O5" i="8"/>
  <c r="M4" i="8"/>
  <c r="M5" i="8"/>
  <c r="M6" i="8"/>
  <c r="M7" i="8"/>
  <c r="O7" i="8" s="1"/>
  <c r="P7" i="8" s="1"/>
  <c r="M8" i="8"/>
  <c r="M9" i="8"/>
  <c r="M10" i="8"/>
  <c r="M11" i="8"/>
  <c r="M12" i="8"/>
  <c r="O11" i="8" s="1"/>
  <c r="P11" i="8" s="1"/>
  <c r="M13" i="8"/>
  <c r="O13" i="8" s="1"/>
  <c r="P13" i="8" s="1"/>
  <c r="M14" i="8"/>
  <c r="M16" i="8"/>
  <c r="P16" i="8" s="1"/>
  <c r="M17" i="8"/>
  <c r="P17" i="8" s="1"/>
  <c r="M18" i="8"/>
  <c r="P18" i="8" s="1"/>
  <c r="M19" i="8"/>
  <c r="M21" i="8"/>
  <c r="M22" i="8"/>
  <c r="M23" i="8"/>
  <c r="M24" i="8"/>
  <c r="O23" i="8" s="1"/>
  <c r="P23" i="8" s="1"/>
  <c r="M25" i="8"/>
  <c r="O25" i="8" s="1"/>
  <c r="P25" i="8" s="1"/>
  <c r="M26" i="8"/>
  <c r="M3" i="8"/>
  <c r="O3" i="8" s="1"/>
  <c r="P3" i="8" s="1"/>
  <c r="AQ34" i="9" l="1"/>
  <c r="AQ13" i="9"/>
  <c r="AQ8" i="9"/>
  <c r="AQ40" i="9"/>
  <c r="AQ38" i="9"/>
  <c r="AQ36" i="9"/>
  <c r="AQ25" i="9"/>
  <c r="AQ19" i="9"/>
  <c r="AQ17" i="9"/>
  <c r="W34" i="10"/>
  <c r="W9" i="10"/>
  <c r="AQ32" i="9"/>
  <c r="AQ30" i="9"/>
  <c r="AQ28" i="9"/>
  <c r="AQ21" i="9"/>
  <c r="AQ12" i="9"/>
  <c r="AQ7" i="9"/>
  <c r="W32" i="10"/>
  <c r="W8" i="10"/>
  <c r="AQ35" i="9"/>
  <c r="AQ9" i="9"/>
  <c r="W31" i="10"/>
  <c r="AQ39" i="9"/>
  <c r="AQ37" i="9"/>
  <c r="AQ29" i="9"/>
  <c r="AQ24" i="9"/>
  <c r="AQ23" i="9"/>
  <c r="AQ18" i="9"/>
  <c r="AQ14" i="9"/>
  <c r="AQ5" i="9"/>
  <c r="AQ33" i="9"/>
  <c r="AQ31" i="9"/>
  <c r="AQ27" i="9"/>
  <c r="AQ20" i="9"/>
  <c r="AQ11" i="9"/>
  <c r="AQ22" i="9"/>
  <c r="W26" i="10"/>
  <c r="AQ15" i="9"/>
  <c r="AQ10" i="9"/>
  <c r="AQ6" i="9"/>
  <c r="AQ4" i="9"/>
  <c r="W35" i="10"/>
  <c r="W21" i="10"/>
  <c r="W28" i="10"/>
  <c r="W20" i="10"/>
  <c r="W19" i="10"/>
  <c r="W7" i="10"/>
  <c r="W40" i="10"/>
  <c r="W30" i="10"/>
  <c r="W18" i="10"/>
  <c r="W6" i="10"/>
  <c r="W38" i="10"/>
  <c r="W29" i="10"/>
  <c r="W17" i="10"/>
  <c r="W5" i="10"/>
  <c r="W37" i="10"/>
  <c r="W27" i="10"/>
  <c r="W4" i="10"/>
  <c r="W24" i="10"/>
  <c r="W36" i="10"/>
  <c r="W15" i="10"/>
  <c r="W25" i="10"/>
  <c r="W14" i="10"/>
  <c r="W12" i="10"/>
  <c r="AE42" i="9"/>
  <c r="AN42" i="9"/>
  <c r="AN41" i="9"/>
  <c r="AF42" i="9"/>
  <c r="AF41" i="9"/>
  <c r="AL42" i="9"/>
  <c r="AL41" i="9"/>
  <c r="AD41" i="9"/>
  <c r="AD42" i="9"/>
  <c r="AK41" i="9"/>
  <c r="AK42" i="9"/>
  <c r="AG42" i="9"/>
  <c r="AG41" i="9"/>
  <c r="AG43" i="9" s="1"/>
  <c r="AI41" i="9"/>
  <c r="AI42" i="9"/>
  <c r="AJ41" i="9"/>
  <c r="AJ42" i="9"/>
  <c r="AH42" i="9"/>
  <c r="AH41" i="9"/>
  <c r="AE41" i="9"/>
  <c r="AM42" i="9"/>
  <c r="AM41" i="9"/>
  <c r="AO42" i="9"/>
  <c r="AO41" i="9"/>
  <c r="O23" i="1"/>
  <c r="O8" i="1"/>
  <c r="O9" i="1"/>
  <c r="O18" i="1"/>
  <c r="O35" i="1"/>
  <c r="O41" i="1"/>
  <c r="O32" i="1"/>
  <c r="O33" i="1"/>
  <c r="O5" i="1"/>
  <c r="O37" i="1"/>
  <c r="O36" i="1"/>
  <c r="O10" i="1"/>
  <c r="O25" i="1"/>
  <c r="O11" i="1"/>
  <c r="O12" i="1"/>
  <c r="O30" i="1"/>
  <c r="O28" i="1"/>
  <c r="O22" i="1"/>
  <c r="O24" i="1"/>
  <c r="O19" i="1"/>
  <c r="O34" i="1"/>
  <c r="O7" i="1"/>
  <c r="O6" i="1"/>
  <c r="O14" i="1"/>
  <c r="O17" i="1"/>
  <c r="O21" i="1"/>
  <c r="O38" i="1"/>
  <c r="O15" i="1"/>
  <c r="O29" i="1"/>
  <c r="O26" i="1"/>
  <c r="O27" i="1"/>
  <c r="O16" i="1"/>
  <c r="O13" i="1"/>
  <c r="O20" i="1"/>
  <c r="O40" i="1"/>
  <c r="O39" i="1"/>
  <c r="O42" i="1"/>
  <c r="O31" i="1"/>
  <c r="L23" i="1"/>
  <c r="L8" i="1"/>
  <c r="L9" i="1"/>
  <c r="L18" i="1"/>
  <c r="L35" i="1"/>
  <c r="L41" i="1"/>
  <c r="L32" i="1"/>
  <c r="L33" i="1"/>
  <c r="L5" i="1"/>
  <c r="L37" i="1"/>
  <c r="L36" i="1"/>
  <c r="L10" i="1"/>
  <c r="L25" i="1"/>
  <c r="L11" i="1"/>
  <c r="L12" i="1"/>
  <c r="L30" i="1"/>
  <c r="L28" i="1"/>
  <c r="L22" i="1"/>
  <c r="L24" i="1"/>
  <c r="L19" i="1"/>
  <c r="L34" i="1"/>
  <c r="L7" i="1"/>
  <c r="L6" i="1"/>
  <c r="L14" i="1"/>
  <c r="L17" i="1"/>
  <c r="L21" i="1"/>
  <c r="L38" i="1"/>
  <c r="L15" i="1"/>
  <c r="L29" i="1"/>
  <c r="L26" i="1"/>
  <c r="L27" i="1"/>
  <c r="L16" i="1"/>
  <c r="L13" i="1"/>
  <c r="L20" i="1"/>
  <c r="L40" i="1"/>
  <c r="L39" i="1"/>
  <c r="L42" i="1"/>
  <c r="L31" i="1"/>
  <c r="M23" i="1"/>
  <c r="M8" i="1"/>
  <c r="M9" i="1"/>
  <c r="M18" i="1"/>
  <c r="M35" i="1"/>
  <c r="M41" i="1"/>
  <c r="M32" i="1"/>
  <c r="M33" i="1"/>
  <c r="M5" i="1"/>
  <c r="M37" i="1"/>
  <c r="M36" i="1"/>
  <c r="M10" i="1"/>
  <c r="M25" i="1"/>
  <c r="M11" i="1"/>
  <c r="M12" i="1"/>
  <c r="M30" i="1"/>
  <c r="M28" i="1"/>
  <c r="M22" i="1"/>
  <c r="M24" i="1"/>
  <c r="M19" i="1"/>
  <c r="M7" i="1"/>
  <c r="M6" i="1"/>
  <c r="M14" i="1"/>
  <c r="M17" i="1"/>
  <c r="M21" i="1"/>
  <c r="M38" i="1"/>
  <c r="M15" i="1"/>
  <c r="M29" i="1"/>
  <c r="M26" i="1"/>
  <c r="M27" i="1"/>
  <c r="M16" i="1"/>
  <c r="M13" i="1"/>
  <c r="M20" i="1"/>
  <c r="M40" i="1"/>
  <c r="M39" i="1"/>
  <c r="M42" i="1"/>
  <c r="M31" i="1"/>
  <c r="N9" i="1"/>
  <c r="N12" i="1"/>
  <c r="N13" i="1"/>
  <c r="N17" i="1"/>
  <c r="N14" i="1"/>
  <c r="N21" i="1"/>
  <c r="N18" i="1"/>
  <c r="N38" i="1"/>
  <c r="N16" i="1"/>
  <c r="N10" i="1"/>
  <c r="N22" i="1"/>
  <c r="N11" i="1"/>
  <c r="N24" i="1"/>
  <c r="N25" i="1"/>
  <c r="N26" i="1"/>
  <c r="N19" i="1"/>
  <c r="N27" i="1"/>
  <c r="N29" i="1"/>
  <c r="N6" i="1"/>
  <c r="N32" i="1"/>
  <c r="N33" i="1"/>
  <c r="N34" i="1"/>
  <c r="N37" i="1"/>
  <c r="N36" i="1"/>
  <c r="N15" i="1"/>
  <c r="N39" i="1"/>
  <c r="N20" i="1"/>
  <c r="N31" i="1"/>
  <c r="N40" i="1"/>
  <c r="N42" i="1"/>
  <c r="N8" i="1"/>
  <c r="N28" i="1"/>
  <c r="N30" i="1"/>
  <c r="N5" i="1"/>
  <c r="N35" i="1"/>
  <c r="N41" i="1"/>
  <c r="N23" i="1"/>
  <c r="N7" i="1"/>
  <c r="AM43" i="9" l="1"/>
  <c r="P40" i="1"/>
  <c r="P38" i="1"/>
  <c r="P24" i="1"/>
  <c r="P36" i="1"/>
  <c r="P9" i="1"/>
  <c r="P20" i="1"/>
  <c r="P37" i="1"/>
  <c r="P22" i="1"/>
  <c r="P42" i="1"/>
  <c r="P29" i="1"/>
  <c r="P34" i="1"/>
  <c r="P25" i="1"/>
  <c r="P35" i="1"/>
  <c r="P8" i="1"/>
  <c r="P16" i="1"/>
  <c r="P30" i="1"/>
  <c r="P21" i="1"/>
  <c r="P14" i="1"/>
  <c r="P33" i="1"/>
  <c r="P39" i="1"/>
  <c r="P15" i="1"/>
  <c r="P19" i="1"/>
  <c r="P10" i="1"/>
  <c r="P18" i="1"/>
  <c r="AE43" i="9"/>
  <c r="AO43" i="9"/>
  <c r="AN43" i="9"/>
  <c r="AL43" i="9"/>
  <c r="AK43" i="9"/>
  <c r="AJ43" i="9"/>
  <c r="P13" i="1"/>
  <c r="P17" i="1"/>
  <c r="P28" i="1"/>
  <c r="P5" i="1"/>
  <c r="P23" i="1"/>
  <c r="P27" i="1"/>
  <c r="P6" i="1"/>
  <c r="P12" i="1"/>
  <c r="P32" i="1"/>
  <c r="P31" i="1"/>
  <c r="P26" i="1"/>
  <c r="P7" i="1"/>
  <c r="P11" i="1"/>
  <c r="P41" i="1"/>
</calcChain>
</file>

<file path=xl/sharedStrings.xml><?xml version="1.0" encoding="utf-8"?>
<sst xmlns="http://schemas.openxmlformats.org/spreadsheetml/2006/main" count="430" uniqueCount="137">
  <si>
    <t>INDIC_IS (Labels)</t>
  </si>
  <si>
    <t>Fraudulent credit or debit card use</t>
  </si>
  <si>
    <t>Online identity theft (somebody stealing individuals' personal data and impersonating individuals e.g. shopping under an individual's name)</t>
  </si>
  <si>
    <t>Receiving fraudulent messages ('phishing')</t>
  </si>
  <si>
    <t>Getting redirected to fake websites asking for personal information ('pharming')</t>
  </si>
  <si>
    <t>Misuse of personal information available on the Internet resulting in e.g. discrimination, harassment, bullying</t>
  </si>
  <si>
    <t>Social network or e-mail account being hacked and content being posted or sent without individuals' knowledge</t>
  </si>
  <si>
    <t>Loss of documents, pictures or other data due to a virus or other computer infection (e.g. worm or Trojan horse)</t>
  </si>
  <si>
    <t>Experienced financial loss resulting from identity theft, receiving fraudulent messages or being redirected to fake websites</t>
  </si>
  <si>
    <t>Experienced no security related problem</t>
  </si>
  <si>
    <t>Children accessing inappropriate web-sites</t>
  </si>
  <si>
    <t>: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</si>
  <si>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</si>
  <si>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</si>
  <si>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</si>
  <si>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</si>
  <si>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</si>
  <si>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</si>
  <si>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</si>
  <si>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</si>
  <si>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</si>
  <si>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</si>
  <si>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</si>
  <si>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</si>
  <si>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</si>
  <si>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</si>
  <si>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</si>
  <si>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</si>
  <si>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</si>
  <si>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</si>
  <si>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</si>
  <si>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</si>
  <si>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</si>
  <si>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</si>
  <si>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</si>
  <si>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</si>
  <si>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</si>
  <si>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</si>
  <si>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</si>
  <si>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</si>
  <si>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Norway</t>
  </si>
  <si>
    <t>Switzerland</t>
  </si>
  <si>
    <t>United Kingdom</t>
  </si>
  <si>
    <t>Bosnia and Herzegovina</t>
  </si>
  <si>
    <t>Montenegro</t>
  </si>
  <si>
    <t>North Macedonia</t>
  </si>
  <si>
    <t>Albania</t>
  </si>
  <si>
    <t>Serbia</t>
  </si>
  <si>
    <t>Türkiye</t>
  </si>
  <si>
    <t>Kosovo (under United Nations Security Council Resolution 1244/99)</t>
  </si>
  <si>
    <t>Cybersecurity index - 2019</t>
  </si>
  <si>
    <t>CYBERSECURITY INDEX:</t>
  </si>
  <si>
    <t>Unit</t>
  </si>
  <si>
    <t>?</t>
  </si>
  <si>
    <t>direction</t>
  </si>
  <si>
    <t>check</t>
  </si>
  <si>
    <t>&lt;&gt;100</t>
  </si>
  <si>
    <t>negative</t>
  </si>
  <si>
    <t>positive</t>
  </si>
  <si>
    <t>index2 (positive/negative)</t>
  </si>
  <si>
    <t>%</t>
  </si>
  <si>
    <t>…</t>
  </si>
  <si>
    <t>internet penetration?</t>
  </si>
  <si>
    <t>GEO (Labels)</t>
  </si>
  <si>
    <t>Experienced any of the following security related incidents: I_SECFRD2, I_SECVIR1, I_SECMPI, I_SECSNH, I_SECOIT, I_SECPHI or I_SECPHA</t>
  </si>
  <si>
    <t>Males, 16 to 24 years old</t>
  </si>
  <si>
    <t>Females, 16 to 24 years old</t>
  </si>
  <si>
    <t>Males, 25 to 34 years old</t>
  </si>
  <si>
    <t>Females, 25 to 34 years old</t>
  </si>
  <si>
    <t>Males 35 to 44 years old</t>
  </si>
  <si>
    <t>Females 35 to 44 years old</t>
  </si>
  <si>
    <t>Males 45 to 54 years old</t>
  </si>
  <si>
    <t>Females 45 to 54 years old</t>
  </si>
  <si>
    <t>Males 55 to 64 years old</t>
  </si>
  <si>
    <t>Females 55 to 64 years old</t>
  </si>
  <si>
    <t>Males 65 to 74 years old</t>
  </si>
  <si>
    <t>Females 65 to 74 years old</t>
  </si>
  <si>
    <t>Males with low formal education</t>
  </si>
  <si>
    <t>Females with low formal education</t>
  </si>
  <si>
    <t>Males with medium formal education</t>
  </si>
  <si>
    <t>Females with medium formal education</t>
  </si>
  <si>
    <t>Males with high formal education</t>
  </si>
  <si>
    <t>Females with high formal education</t>
  </si>
  <si>
    <t>ICT professionals</t>
  </si>
  <si>
    <t>Employees, self-employed, family workers</t>
  </si>
  <si>
    <t>Students</t>
  </si>
  <si>
    <t>Unemployed</t>
  </si>
  <si>
    <t>átlag</t>
  </si>
  <si>
    <t>16 to 24</t>
  </si>
  <si>
    <t>összeadás</t>
  </si>
  <si>
    <t>25 to 34</t>
  </si>
  <si>
    <t>35 to 44</t>
  </si>
  <si>
    <t>45 to 54</t>
  </si>
  <si>
    <t>55 to 64</t>
  </si>
  <si>
    <t>65 to 74</t>
  </si>
  <si>
    <t>range</t>
  </si>
  <si>
    <t>LOW</t>
  </si>
  <si>
    <t>MID</t>
  </si>
  <si>
    <t>HIGH</t>
  </si>
  <si>
    <t>Oszlop1</t>
  </si>
  <si>
    <t>COUNTRY</t>
  </si>
  <si>
    <t xml:space="preserve">Nem nélküli átlag </t>
  </si>
  <si>
    <t>% aki kitöltötte</t>
  </si>
  <si>
    <t>Lakosság 2019 fő</t>
  </si>
  <si>
    <t>Lakosság</t>
  </si>
  <si>
    <t>FŐ</t>
  </si>
  <si>
    <t>Males with low formal education2</t>
  </si>
  <si>
    <t>Males with medium formal education2</t>
  </si>
  <si>
    <t xml:space="preserve">100.000 fő </t>
  </si>
  <si>
    <t>Helyetesítő érték alkotás</t>
  </si>
  <si>
    <t>Esetszám</t>
  </si>
  <si>
    <t>Értékhelyetesítő</t>
  </si>
  <si>
    <t>A kék vastag dölt számok helyetesítő számok</t>
  </si>
  <si>
    <t>AGE/SEX  CyberSec  Index</t>
  </si>
  <si>
    <t>Mivel beillesztettem az értékhelyetesítő értékeket, az értékhelyetesítő változom megváltozott, a számolás ettől függetlenűl,eredeti állapotát tekintve helyes.</t>
  </si>
  <si>
    <t>Females with low formal education2</t>
  </si>
  <si>
    <t>Females with medium formal education2</t>
  </si>
  <si>
    <t>Males with high formal education2</t>
  </si>
  <si>
    <t>Females with high formal education2</t>
  </si>
  <si>
    <t>Females with low formal education23</t>
  </si>
  <si>
    <t>Males with medium formal education24</t>
  </si>
  <si>
    <t>Females with medium formal education25</t>
  </si>
  <si>
    <t>Males with high formal education26</t>
  </si>
  <si>
    <t>Females with high formal education27</t>
  </si>
  <si>
    <t>Males with low formal education3</t>
  </si>
  <si>
    <t>100.000fő</t>
  </si>
  <si>
    <t>Behelyetesítés elöttí átlagok, a kék vastag dölt számok,a behelyetesítő értékek</t>
  </si>
  <si>
    <t>Education Cybersecu Index</t>
  </si>
  <si>
    <t>Lakosság/100.000</t>
  </si>
  <si>
    <t>Ország</t>
  </si>
  <si>
    <t>experienced no cyber threat</t>
  </si>
  <si>
    <t>.</t>
  </si>
  <si>
    <t>Age+Edu * not exp attack % / 100</t>
  </si>
  <si>
    <t>Átl:59 Kék= behelytesített</t>
  </si>
  <si>
    <t>Age+Edu = Index1</t>
  </si>
  <si>
    <t xml:space="preserve">Összesítés - az alanyok akiket nem ért semmilyen probléme = index2 </t>
  </si>
  <si>
    <t>Kettő index összegzése(Opcionális,Nemtudom hogy helyes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</si>
</sst>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####"/>
    <numFmt numFmtId="179" formatCode="#,##0.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rgb="FF00B0F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theme="1"/>
        <bgColor indexed="64"/>
      </patternFill>
    </fill>
    <fill>
      <patternFill patternType="solid">
        <fgColor rgb="FF4669AF"/>
        <bgColor indexed="64"/>
      </patternFill>
    </fill>
    <fill>
      <patternFill patternType="solid">
        <fgColor rgb="FF0096DC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B0B0B0"/>
      </right>
      <top/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 style="thin">
        <color rgb="FFB0B0B0"/>
      </bottom>
      <diagonal/>
    </border>
    <border>
      <left style="thin">
        <color rgb="FFB0B0B0"/>
      </left>
      <right/>
      <top/>
      <bottom style="thin">
        <color rgb="FFB0B0B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164" fontId="3" fillId="4" borderId="1" xfId="1" applyNumberFormat="1" applyFont="1" applyFill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shrinkToFit="1"/>
    </xf>
    <xf numFmtId="4" fontId="3" fillId="0" borderId="1" xfId="1" applyNumberFormat="1" applyFont="1" applyBorder="1" applyAlignment="1">
      <alignment horizontal="center" vertical="center" shrinkToFit="1"/>
    </xf>
    <xf numFmtId="4" fontId="3" fillId="4" borderId="1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3" fontId="3" fillId="5" borderId="1" xfId="1" applyNumberFormat="1" applyFont="1" applyFill="1" applyBorder="1" applyAlignment="1">
      <alignment horizontal="center" vertical="center" shrinkToFit="1"/>
    </xf>
    <xf numFmtId="3" fontId="5" fillId="5" borderId="1" xfId="1" applyNumberFormat="1" applyFont="1" applyFill="1" applyBorder="1" applyAlignment="1">
      <alignment horizontal="center" vertical="center" shrinkToFit="1"/>
    </xf>
    <xf numFmtId="4" fontId="3" fillId="4" borderId="2" xfId="1" applyNumberFormat="1" applyFont="1" applyFill="1" applyBorder="1" applyAlignment="1">
      <alignment horizontal="center" vertical="center" shrinkToFit="1"/>
    </xf>
    <xf numFmtId="4" fontId="3" fillId="0" borderId="2" xfId="1" applyNumberFormat="1" applyFont="1" applyBorder="1" applyAlignment="1">
      <alignment horizontal="center" vertical="center" shrinkToFit="1"/>
    </xf>
    <xf numFmtId="164" fontId="3" fillId="4" borderId="2" xfId="1" applyNumberFormat="1" applyFont="1" applyFill="1" applyBorder="1" applyAlignment="1">
      <alignment horizontal="center" vertical="center" shrinkToFit="1"/>
    </xf>
    <xf numFmtId="164" fontId="3" fillId="0" borderId="2" xfId="1" applyNumberFormat="1" applyFont="1" applyBorder="1" applyAlignment="1">
      <alignment horizontal="center" vertical="center" shrinkToFit="1"/>
    </xf>
    <xf numFmtId="3" fontId="3" fillId="5" borderId="2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6" borderId="5" xfId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2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6" xfId="0" applyNumberFormat="1" applyBorder="1"/>
    <xf numFmtId="2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0" borderId="0" xfId="1" applyNumberFormat="1" applyFont="1" applyAlignment="1">
      <alignment horizontal="right" vertical="center" shrinkToFit="1"/>
    </xf>
    <xf numFmtId="3" fontId="3" fillId="4" borderId="0" xfId="1" applyNumberFormat="1" applyFont="1" applyFill="1" applyAlignment="1">
      <alignment horizontal="right" vertical="center" shrinkToFit="1"/>
    </xf>
    <xf numFmtId="164" fontId="3" fillId="0" borderId="0" xfId="1" applyNumberFormat="1" applyFont="1" applyAlignment="1">
      <alignment horizontal="right" vertical="center" shrinkToFit="1"/>
    </xf>
    <xf numFmtId="164" fontId="3" fillId="4" borderId="0" xfId="1" applyNumberFormat="1" applyFont="1" applyFill="1" applyAlignment="1">
      <alignment horizontal="right" vertical="center" shrinkToFit="1"/>
    </xf>
    <xf numFmtId="4" fontId="3" fillId="0" borderId="0" xfId="1" applyNumberFormat="1" applyFont="1" applyAlignment="1">
      <alignment horizontal="right" vertical="center" shrinkToFit="1"/>
    </xf>
    <xf numFmtId="4" fontId="3" fillId="4" borderId="0" xfId="1" applyNumberFormat="1" applyFont="1" applyFill="1" applyAlignment="1">
      <alignment horizontal="right" vertical="center" shrinkToFit="1"/>
    </xf>
    <xf numFmtId="0" fontId="2" fillId="3" borderId="3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 wrapText="1"/>
    </xf>
    <xf numFmtId="164" fontId="3" fillId="4" borderId="0" xfId="1" applyNumberFormat="1" applyFont="1" applyFill="1" applyAlignment="1">
      <alignment horizontal="right" vertical="center" wrapText="1" shrinkToFit="1"/>
    </xf>
    <xf numFmtId="164" fontId="3" fillId="0" borderId="0" xfId="1" applyNumberFormat="1" applyFont="1" applyAlignment="1">
      <alignment horizontal="right" vertical="center" wrapText="1" shrinkToFit="1"/>
    </xf>
    <xf numFmtId="4" fontId="3" fillId="0" borderId="0" xfId="1" applyNumberFormat="1" applyFont="1" applyAlignment="1">
      <alignment horizontal="right" vertical="center" wrapText="1" shrinkToFit="1"/>
    </xf>
    <xf numFmtId="4" fontId="3" fillId="4" borderId="0" xfId="1" applyNumberFormat="1" applyFont="1" applyFill="1" applyAlignment="1">
      <alignment horizontal="right" vertical="center" wrapText="1" shrinkToFit="1"/>
    </xf>
    <xf numFmtId="3" fontId="3" fillId="4" borderId="0" xfId="1" applyNumberFormat="1" applyFont="1" applyFill="1" applyAlignment="1">
      <alignment horizontal="right" vertical="center" wrapText="1" shrinkToFit="1"/>
    </xf>
    <xf numFmtId="3" fontId="3" fillId="0" borderId="0" xfId="1" applyNumberFormat="1" applyFont="1" applyAlignment="1">
      <alignment horizontal="right" vertical="center" wrapText="1" shrinkToFit="1"/>
    </xf>
    <xf numFmtId="2" fontId="3" fillId="0" borderId="0" xfId="1" applyNumberFormat="1" applyFont="1" applyAlignment="1">
      <alignment horizontal="right" vertical="center" shrinkToFit="1"/>
    </xf>
    <xf numFmtId="0" fontId="4" fillId="2" borderId="7" xfId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shrinkToFit="1"/>
    </xf>
    <xf numFmtId="1" fontId="0" fillId="0" borderId="0" xfId="0" applyNumberFormat="1"/>
    <xf numFmtId="0" fontId="0" fillId="8" borderId="0" xfId="0" applyFill="1"/>
    <xf numFmtId="2" fontId="4" fillId="6" borderId="9" xfId="1" applyNumberFormat="1" applyFont="1" applyFill="1" applyBorder="1" applyAlignment="1">
      <alignment horizontal="left" vertical="center" wrapText="1"/>
    </xf>
    <xf numFmtId="0" fontId="0" fillId="8" borderId="6" xfId="0" applyFill="1" applyBorder="1"/>
    <xf numFmtId="2" fontId="4" fillId="5" borderId="0" xfId="1" applyNumberFormat="1" applyFont="1" applyFill="1" applyAlignment="1">
      <alignment horizontal="left" vertical="center" wrapText="1"/>
    </xf>
    <xf numFmtId="2" fontId="3" fillId="5" borderId="0" xfId="1" applyNumberFormat="1" applyFont="1" applyFill="1" applyAlignment="1">
      <alignment horizontal="right" vertical="center" shrinkToFit="1"/>
    </xf>
    <xf numFmtId="2" fontId="0" fillId="5" borderId="0" xfId="0" applyNumberFormat="1" applyFill="1"/>
    <xf numFmtId="0" fontId="0" fillId="8" borderId="10" xfId="0" applyFill="1" applyBorder="1"/>
    <xf numFmtId="0" fontId="0" fillId="8" borderId="12" xfId="0" applyFill="1" applyBorder="1" applyAlignment="1">
      <alignment horizontal="center" vertical="center" wrapText="1"/>
    </xf>
    <xf numFmtId="3" fontId="3" fillId="8" borderId="12" xfId="1" applyNumberFormat="1" applyFont="1" applyFill="1" applyBorder="1" applyAlignment="1">
      <alignment horizontal="right" vertical="center" shrinkToFit="1"/>
    </xf>
    <xf numFmtId="0" fontId="4" fillId="2" borderId="11" xfId="1" applyFont="1" applyFill="1" applyBorder="1" applyAlignment="1">
      <alignment horizontal="center" vertical="center" wrapText="1"/>
    </xf>
    <xf numFmtId="1" fontId="3" fillId="4" borderId="11" xfId="1" applyNumberFormat="1" applyFont="1" applyFill="1" applyBorder="1" applyAlignment="1">
      <alignment horizontal="center" vertical="center" wrapText="1" shrinkToFit="1"/>
    </xf>
    <xf numFmtId="1" fontId="0" fillId="0" borderId="0" xfId="0" applyNumberFormat="1" applyAlignment="1">
      <alignment horizontal="center"/>
    </xf>
    <xf numFmtId="1" fontId="3" fillId="4" borderId="11" xfId="1" applyNumberFormat="1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/>
    </xf>
    <xf numFmtId="0" fontId="2" fillId="7" borderId="13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0" fillId="8" borderId="10" xfId="0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 wrapText="1" shrinkToFit="1"/>
    </xf>
    <xf numFmtId="164" fontId="3" fillId="0" borderId="6" xfId="1" applyNumberFormat="1" applyFont="1" applyBorder="1" applyAlignment="1">
      <alignment horizontal="right" vertical="center" wrapText="1" shrinkToFit="1"/>
    </xf>
    <xf numFmtId="3" fontId="3" fillId="8" borderId="6" xfId="1" applyNumberFormat="1" applyFont="1" applyFill="1" applyBorder="1" applyAlignment="1">
      <alignment horizontal="right" vertical="center" wrapText="1" shrinkToFit="1"/>
    </xf>
    <xf numFmtId="1" fontId="0" fillId="0" borderId="6" xfId="0" applyNumberFormat="1" applyBorder="1" applyAlignment="1">
      <alignment horizontal="center" wrapText="1"/>
    </xf>
    <xf numFmtId="1" fontId="0" fillId="0" borderId="12" xfId="0" applyNumberFormat="1" applyBorder="1" applyAlignment="1">
      <alignment horizontal="center" wrapText="1"/>
    </xf>
    <xf numFmtId="164" fontId="3" fillId="4" borderId="6" xfId="1" applyNumberFormat="1" applyFont="1" applyFill="1" applyBorder="1" applyAlignment="1">
      <alignment horizontal="right" vertical="center" wrapText="1" shrinkToFit="1"/>
    </xf>
    <xf numFmtId="4" fontId="3" fillId="4" borderId="6" xfId="1" applyNumberFormat="1" applyFont="1" applyFill="1" applyBorder="1" applyAlignment="1">
      <alignment horizontal="right" vertical="center" wrapText="1" shrinkToFit="1"/>
    </xf>
    <xf numFmtId="4" fontId="3" fillId="0" borderId="6" xfId="1" applyNumberFormat="1" applyFont="1" applyBorder="1" applyAlignment="1">
      <alignment horizontal="right" vertical="center" wrapText="1" shrinkToFit="1"/>
    </xf>
    <xf numFmtId="3" fontId="3" fillId="4" borderId="6" xfId="1" applyNumberFormat="1" applyFont="1" applyFill="1" applyBorder="1" applyAlignment="1">
      <alignment horizontal="right" vertical="center" wrapText="1" shrinkToFit="1"/>
    </xf>
    <xf numFmtId="0" fontId="2" fillId="3" borderId="16" xfId="1" applyFont="1" applyFill="1" applyBorder="1" applyAlignment="1">
      <alignment horizontal="left" vertical="center" wrapText="1"/>
    </xf>
    <xf numFmtId="164" fontId="3" fillId="0" borderId="17" xfId="1" applyNumberFormat="1" applyFont="1" applyBorder="1" applyAlignment="1">
      <alignment horizontal="right" vertical="center" wrapText="1" shrinkToFit="1"/>
    </xf>
    <xf numFmtId="3" fontId="3" fillId="8" borderId="17" xfId="1" applyNumberFormat="1" applyFont="1" applyFill="1" applyBorder="1" applyAlignment="1">
      <alignment horizontal="right" vertical="center" wrapText="1" shrinkToFit="1"/>
    </xf>
    <xf numFmtId="1" fontId="0" fillId="0" borderId="17" xfId="0" applyNumberFormat="1" applyBorder="1" applyAlignment="1">
      <alignment horizontal="center" wrapText="1"/>
    </xf>
    <xf numFmtId="1" fontId="0" fillId="0" borderId="18" xfId="0" applyNumberFormat="1" applyBorder="1" applyAlignment="1">
      <alignment horizontal="center" wrapText="1"/>
    </xf>
    <xf numFmtId="0" fontId="0" fillId="8" borderId="0" xfId="0" applyFill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0" fontId="0" fillId="0" borderId="20" xfId="0" applyBorder="1"/>
    <xf numFmtId="1" fontId="0" fillId="0" borderId="20" xfId="0" applyNumberFormat="1" applyBorder="1"/>
    <xf numFmtId="0" fontId="6" fillId="8" borderId="6" xfId="0" applyFont="1" applyFill="1" applyBorder="1" applyAlignment="1">
      <alignment wrapText="1"/>
    </xf>
    <xf numFmtId="0" fontId="7" fillId="0" borderId="6" xfId="0" applyFont="1" applyBorder="1"/>
    <xf numFmtId="0" fontId="7" fillId="0" borderId="0" xfId="0" applyFont="1"/>
    <xf numFmtId="1" fontId="7" fillId="0" borderId="0" xfId="0" applyNumberFormat="1" applyFont="1"/>
    <xf numFmtId="1" fontId="7" fillId="0" borderId="6" xfId="0" applyNumberFormat="1" applyFont="1" applyBorder="1"/>
    <xf numFmtId="1" fontId="7" fillId="9" borderId="0" xfId="0" applyNumberFormat="1" applyFont="1" applyFill="1"/>
    <xf numFmtId="1" fontId="0" fillId="0" borderId="10" xfId="0" applyNumberFormat="1" applyBorder="1" applyAlignment="1">
      <alignment horizontal="center" wrapText="1"/>
    </xf>
    <xf numFmtId="0" fontId="0" fillId="9" borderId="0" xfId="0" applyFill="1" applyAlignment="1">
      <alignment wrapText="1"/>
    </xf>
    <xf numFmtId="0" fontId="2" fillId="3" borderId="6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0" xfId="0" applyBorder="1"/>
    <xf numFmtId="1" fontId="0" fillId="0" borderId="21" xfId="0" applyNumberFormat="1" applyBorder="1"/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9" borderId="19" xfId="0" applyFill="1" applyBorder="1" applyAlignment="1">
      <alignment horizontal="center"/>
    </xf>
    <xf numFmtId="0" fontId="0" fillId="9" borderId="0" xfId="0" applyFill="1" applyAlignment="1">
      <alignment horizontal="center"/>
    </xf>
    <xf numFmtId="179" fontId="0" fillId="0" borderId="4" xfId="0" applyNumberFormat="1" applyBorder="1" applyAlignment="1">
      <alignment horizontal="center"/>
    </xf>
    <xf numFmtId="1" fontId="0" fillId="0" borderId="12" xfId="0" applyNumberFormat="1" applyBorder="1"/>
  </cellXfs>
  <cellStyles count="2">
    <cellStyle name="Normal" xfId="0" builtinId="0"/>
    <cellStyle name="Normál 2" xfId="1" xr:uid="{00000000-0005-0000-0000-000001000000}"/>
  </cellStyles>
  <dxfs count="81">
    <dxf>
      <numFmt numFmtId="2" formatCode="0.00"/>
    </dxf>
    <dxf>
      <numFmt numFmtId="2" formatCode="0.00"/>
    </dxf>
    <dxf>
      <numFmt numFmtId="179" formatCode="#,##0.##"/>
      <alignment horizontal="center" vertical="bottom" textRotation="0" wrapText="0" indent="0" justifyLastLine="0" shrinkToFit="0" readingOrder="0"/>
      <border diagonalUp="0" diagonalDown="0" outline="0">
        <left/>
        <right/>
        <top style="mediumDashed">
          <color auto="1"/>
        </top>
        <bottom style="mediumDashed">
          <color auto="1"/>
        </bottom>
      </border>
    </dxf>
    <dxf>
      <numFmt numFmtId="3" formatCode="#,##0"/>
      <alignment horizontal="center" vertical="bottom" textRotation="0" wrapText="0" indent="0" justifyLastLine="0" shrinkToFit="0" readingOrder="0"/>
      <border outline="0">
        <right style="mediumDashed">
          <color auto="1"/>
        </right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fill>
        <patternFill patternType="solid">
          <fgColor indexed="64"/>
          <bgColor rgb="FFF6F6F6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rgb="FFB0B0B0"/>
        </left>
        <right/>
        <top style="thin">
          <color rgb="FFB0B0B0"/>
        </top>
        <bottom style="thin">
          <color rgb="FFB0B0B0"/>
        </bottom>
      </border>
    </dxf>
    <dxf>
      <alignment horizontal="general" vertical="bottom" textRotation="0" wrapText="1" indent="0" justifyLastLine="0" shrinkToFit="0" readingOrder="0"/>
    </dxf>
    <dxf>
      <numFmt numFmtId="1" formatCode="0"/>
    </dxf>
    <dxf>
      <numFmt numFmtId="1" formatCode="0"/>
    </dxf>
    <dxf>
      <alignment horizontal="center" vertical="center" textRotation="0" wrapText="0" indent="0" justifyLastLine="0" shrinkToFit="0" readingOrder="0"/>
    </dxf>
    <dxf>
      <numFmt numFmtId="1" formatCode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rgb="FFDCE6F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7"/>
        </patternFill>
      </fill>
      <alignment horizontal="right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7"/>
        </patternFill>
      </fill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7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7"/>
        </patternFill>
      </fill>
      <alignment horizontal="right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alignment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alignment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alignment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fill>
        <patternFill patternType="solid">
          <fgColor indexed="64"/>
          <bgColor rgb="FFF6F6F6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fill>
        <patternFill patternType="solid">
          <fgColor indexed="64"/>
          <bgColor rgb="FFF6F6F6"/>
        </patternFill>
      </fill>
      <alignment horizontal="right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alignment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alignment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rgb="FFDCE6F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rgb="FFDCE6F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readingOrder="0"/>
    </dxf>
    <dxf>
      <border>
        <bottom style="thin">
          <color indexed="64"/>
        </bottom>
      </border>
    </dxf>
    <dxf>
      <alignment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righ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righ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right" vertical="center" textRotation="0" wrapText="1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rgb="FFDCE6F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border outline="0">
        <left style="thin">
          <color rgb="FFB0B0B0"/>
        </left>
        <top style="thin">
          <color rgb="FFB0B0B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center" textRotation="0" wrapText="0" indent="0" justifyLastLine="0" shrinkToFit="1" readingOrder="0"/>
    </dxf>
    <dxf>
      <border outline="0">
        <bottom style="thin">
          <color rgb="FFB0B0B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9"/>
        <name val="Arial"/>
        <scheme val="none"/>
      </font>
      <fill>
        <patternFill patternType="solid">
          <fgColor indexed="64"/>
          <bgColor rgb="FF4669A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B0B0B0"/>
        </left>
        <right style="thin">
          <color rgb="FFB0B0B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/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rgb="FFDCE6F1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border outline="0">
        <left style="thin">
          <color rgb="FFB0B0B0"/>
        </left>
        <right style="mediumDashed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9"/>
        <name val="Arial"/>
        <scheme val="none"/>
      </font>
      <fill>
        <patternFill patternType="solid">
          <fgColor indexed="64"/>
          <bgColor rgb="FF4669A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B0B0B0"/>
        </left>
        <right style="thin">
          <color rgb="FFB0B0B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rgb="FFF6F6F6"/>
        </patternFill>
      </fill>
      <alignment horizontal="right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rgb="FFDCE6F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border outline="0">
        <left style="thin">
          <color rgb="FFB0B0B0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áblázat4" displayName="Táblázat4" ref="A1:B39" totalsRowShown="0" tableBorderDxfId="80">
  <autoFilter ref="A1:B39" xr:uid="{00000000-0009-0000-0100-000004000000}"/>
  <sortState xmlns:xlrd2="http://schemas.microsoft.com/office/spreadsheetml/2017/richdata2" ref="A2:B50">
    <sortCondition ref="A1:A50"/>
  </sortState>
  <tableColumns count="2">
    <tableColumn id="1" xr3:uid="{00000000-0010-0000-0000-000001000000}" name="Oszlop1" dataDxfId="79" dataCellStyle="Normál 2"/>
    <tableColumn id="2" xr3:uid="{00000000-0010-0000-0000-000002000000}" name="Lakosság 2019 fő" dataDxfId="78" dataCellStyle="Normál 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áblázat1" displayName="Táblázat1" ref="A4:Q42" totalsRowShown="0" headerRowDxfId="77" tableBorderDxfId="76" headerRowCellStyle="Normál 2">
  <autoFilter ref="A4:Q42" xr:uid="{00000000-0009-0000-0100-000001000000}"/>
  <sortState xmlns:xlrd2="http://schemas.microsoft.com/office/spreadsheetml/2017/richdata2" ref="A5:Q42">
    <sortCondition ref="A4:A42"/>
  </sortState>
  <tableColumns count="17">
    <tableColumn id="1" xr3:uid="{00000000-0010-0000-0100-000001000000}" name="INDIC_IS (Labels)" dataDxfId="75" dataCellStyle="Normál 2"/>
    <tableColumn id="2" xr3:uid="{00000000-0010-0000-0100-000002000000}" name="Fraudulent credit or debit card use" dataDxfId="74" dataCellStyle="Normál 2"/>
    <tableColumn id="3" xr3:uid="{00000000-0010-0000-0100-000003000000}" name="Online identity theft (somebody stealing individuals' personal data and impersonating individuals e.g. shopping under an individual's name)" dataDxfId="73" dataCellStyle="Normál 2"/>
    <tableColumn id="4" xr3:uid="{00000000-0010-0000-0100-000004000000}" name="Receiving fraudulent messages ('phishing')" dataDxfId="72" dataCellStyle="Normál 2"/>
    <tableColumn id="5" xr3:uid="{00000000-0010-0000-0100-000005000000}" name="Getting redirected to fake websites asking for personal information ('pharming')"/>
    <tableColumn id="6" xr3:uid="{00000000-0010-0000-0100-000006000000}" name="Misuse of personal information available on the Internet resulting in e.g. discrimination, harassment, bullying" dataDxfId="71" dataCellStyle="Normál 2"/>
    <tableColumn id="7" xr3:uid="{00000000-0010-0000-0100-000007000000}" name="Social network or e-mail account being hacked and content being posted or sent without individuals' knowledge" dataDxfId="70" dataCellStyle="Normál 2"/>
    <tableColumn id="8" xr3:uid="{00000000-0010-0000-0100-000008000000}" name="Loss of documents, pictures or other data due to a virus or other computer infection (e.g. worm or Trojan horse)"/>
    <tableColumn id="9" xr3:uid="{00000000-0010-0000-0100-000009000000}" name="Experienced financial loss resulting from identity theft, receiving fraudulent messages or being redirected to fake websites"/>
    <tableColumn id="10" xr3:uid="{00000000-0010-0000-0100-00000A000000}" name="Children accessing inappropriate web-sites" dataDxfId="69" dataCellStyle="Normál 2"/>
    <tableColumn id="15" xr3:uid="{00000000-0010-0000-0100-00000F000000}" name="Experienced no security related problem" dataDxfId="5" dataCellStyle="Normál 2"/>
    <tableColumn id="11" xr3:uid="{00000000-0010-0000-0100-00000B000000}" name="negative" dataDxfId="4">
      <calculatedColumnFormula>AVERAGE(Táblázat1[[#This Row],[Fraudulent credit or debit card use]:[Children accessing inappropriate web-sites]])</calculatedColumnFormula>
    </tableColumn>
    <tableColumn id="12" xr3:uid="{00000000-0010-0000-0100-00000C000000}" name="positive" dataDxfId="3">
      <calculatedColumnFormula>Táblázat1[[#This Row],[Experienced no security related problem]]</calculatedColumnFormula>
    </tableColumn>
    <tableColumn id="13" xr3:uid="{00000000-0010-0000-0100-00000D000000}" name="CYBERSECURITY INDEX:" dataDxfId="2">
      <calculatedColumnFormula>AVERAGE(B5:K5)</calculatedColumnFormula>
    </tableColumn>
    <tableColumn id="14" xr3:uid="{00000000-0010-0000-0100-00000E000000}" name="check" dataDxfId="1">
      <calculatedColumnFormula>SUM(Táblázat1[[#This Row],[Fraudulent credit or debit card use]:[Experienced no security related problem]])</calculatedColumnFormula>
    </tableColumn>
    <tableColumn id="16" xr3:uid="{00000000-0010-0000-0100-000010000000}" name="index2 (positive/negative)" dataDxfId="0">
      <calculatedColumnFormula>Táblázat1[[#This Row],[positive]]/Táblázat1[[#This Row],[negative]]</calculatedColumnFormula>
    </tableColumn>
    <tableColumn id="17" xr3:uid="{00000000-0010-0000-0100-000011000000}" name="internet penetration?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áblázat2" displayName="Táblázat2" ref="A2:N40" totalsRowShown="0" headerRowDxfId="68" dataDxfId="66" headerRowBorderDxfId="67" tableBorderDxfId="65" headerRowCellStyle="Normál 2" dataCellStyle="Normál 2">
  <autoFilter ref="A2:N40" xr:uid="{00000000-0009-0000-0100-000002000000}"/>
  <sortState xmlns:xlrd2="http://schemas.microsoft.com/office/spreadsheetml/2017/richdata2" ref="A3:N40">
    <sortCondition ref="A1:A39"/>
  </sortState>
  <tableColumns count="14">
    <tableColumn id="1" xr3:uid="{00000000-0010-0000-0200-000001000000}" name="COUNTRY" dataDxfId="64" dataCellStyle="Normál 2"/>
    <tableColumn id="4" xr3:uid="{00000000-0010-0000-0200-000004000000}" name="Males, 16 to 24 years old" dataDxfId="63" dataCellStyle="Normál 2"/>
    <tableColumn id="6" xr3:uid="{00000000-0010-0000-0200-000006000000}" name="Females, 16 to 24 years old"/>
    <tableColumn id="8" xr3:uid="{00000000-0010-0000-0200-000008000000}" name="Males, 25 to 34 years old"/>
    <tableColumn id="10" xr3:uid="{00000000-0010-0000-0200-00000A000000}" name="Females, 25 to 34 years old"/>
    <tableColumn id="12" xr3:uid="{00000000-0010-0000-0200-00000C000000}" name="Males 35 to 44 years old"/>
    <tableColumn id="14" xr3:uid="{00000000-0010-0000-0200-00000E000000}" name="Females 35 to 44 years old"/>
    <tableColumn id="16" xr3:uid="{00000000-0010-0000-0200-000010000000}" name="Males 45 to 54 years old"/>
    <tableColumn id="18" xr3:uid="{00000000-0010-0000-0200-000012000000}" name="Females 45 to 54 years old" dataDxfId="62" dataCellStyle="Normál 2"/>
    <tableColumn id="20" xr3:uid="{00000000-0010-0000-0200-000014000000}" name="Males 55 to 64 years old"/>
    <tableColumn id="22" xr3:uid="{00000000-0010-0000-0200-000016000000}" name="Females 55 to 64 years old"/>
    <tableColumn id="24" xr3:uid="{00000000-0010-0000-0200-000018000000}" name="Males 65 to 74 years old"/>
    <tableColumn id="26" xr3:uid="{00000000-0010-0000-0200-00001A000000}" name="Females 65 to 74 years old"/>
    <tableColumn id="48" xr3:uid="{00000000-0010-0000-0200-000030000000}" name="% aki kitöltötte" dataDxfId="61" dataCellStyle="Normál 2">
      <calculatedColumnFormula>B3+C3+D3+E3+F3+G3+H3+I3+J3+K3+L3+M3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áblázat6" displayName="Táblázat6" ref="A2:U40" totalsRowShown="0" headerRowDxfId="60" dataDxfId="58" headerRowBorderDxfId="59" tableBorderDxfId="57" totalsRowBorderDxfId="56">
  <autoFilter ref="A2:U40" xr:uid="{00000000-0009-0000-0100-000006000000}"/>
  <sortState xmlns:xlrd2="http://schemas.microsoft.com/office/spreadsheetml/2017/richdata2" ref="A3:J40">
    <sortCondition ref="A2:A40"/>
  </sortState>
  <tableColumns count="21">
    <tableColumn id="1" xr3:uid="{00000000-0010-0000-0300-000001000000}" name="GEO (Labels)" dataDxfId="55" totalsRowDxfId="54" dataCellStyle="Normál 2"/>
    <tableColumn id="2" xr3:uid="{00000000-0010-0000-0300-000002000000}" name="Males with low formal education" dataDxfId="53" totalsRowDxfId="52"/>
    <tableColumn id="3" xr3:uid="{00000000-0010-0000-0300-000003000000}" name="Females with low formal education" dataDxfId="51" totalsRowDxfId="50"/>
    <tableColumn id="4" xr3:uid="{00000000-0010-0000-0300-000004000000}" name="Males with medium formal education" dataDxfId="49" totalsRowDxfId="48" dataCellStyle="Normál 2"/>
    <tableColumn id="5" xr3:uid="{00000000-0010-0000-0300-000005000000}" name="Females with medium formal education" dataDxfId="47" totalsRowDxfId="46"/>
    <tableColumn id="6" xr3:uid="{00000000-0010-0000-0300-000006000000}" name="Males with high formal education" dataDxfId="45" totalsRowDxfId="44"/>
    <tableColumn id="7" xr3:uid="{00000000-0010-0000-0300-000007000000}" name="Females with high formal education" dataDxfId="43" totalsRowDxfId="42"/>
    <tableColumn id="9" xr3:uid="{00000000-0010-0000-0300-000009000000}" name="Lakosság" dataDxfId="41" totalsRowDxfId="40" dataCellStyle="Normál 2"/>
    <tableColumn id="14" xr3:uid="{00000000-0010-0000-0300-00000E000000}" name="Males with low formal education2" dataDxfId="39" totalsRowDxfId="38">
      <calculatedColumnFormula>H3*B3/100</calculatedColumnFormula>
    </tableColumn>
    <tableColumn id="15" xr3:uid="{00000000-0010-0000-0300-00000F000000}" name="Females with low formal education2" dataDxfId="37" totalsRowDxfId="36">
      <calculatedColumnFormula>H3*C3/100</calculatedColumnFormula>
    </tableColumn>
    <tableColumn id="16" xr3:uid="{00000000-0010-0000-0300-000010000000}" name="Males with medium formal education2" dataDxfId="35" totalsRowDxfId="34">
      <calculatedColumnFormula>H3*D3/100</calculatedColumnFormula>
    </tableColumn>
    <tableColumn id="17" xr3:uid="{00000000-0010-0000-0300-000011000000}" name="Females with medium formal education2" dataDxfId="33" totalsRowDxfId="32">
      <calculatedColumnFormula>H3*E3/100</calculatedColumnFormula>
    </tableColumn>
    <tableColumn id="18" xr3:uid="{00000000-0010-0000-0300-000012000000}" name="Males with high formal education2" dataDxfId="31" totalsRowDxfId="30">
      <calculatedColumnFormula>H3*F3/100</calculatedColumnFormula>
    </tableColumn>
    <tableColumn id="19" xr3:uid="{00000000-0010-0000-0300-000013000000}" name="Females with high formal education2" dataDxfId="29" totalsRowDxfId="28">
      <calculatedColumnFormula>H3*G3/100</calculatedColumnFormula>
    </tableColumn>
    <tableColumn id="10" xr3:uid="{00000000-0010-0000-0300-00000A000000}" name="Lakosság/100.000" dataDxfId="27" totalsRowDxfId="26" dataCellStyle="Normál 2"/>
    <tableColumn id="11" xr3:uid="{00000000-0010-0000-0300-00000B000000}" name="Males with low formal education3" dataDxfId="25" totalsRowDxfId="24">
      <calculatedColumnFormula>I3/O3</calculatedColumnFormula>
    </tableColumn>
    <tableColumn id="12" xr3:uid="{00000000-0010-0000-0300-00000C000000}" name="Females with low formal education23" dataDxfId="23" totalsRowDxfId="22">
      <calculatedColumnFormula>J3/O3</calculatedColumnFormula>
    </tableColumn>
    <tableColumn id="13" xr3:uid="{00000000-0010-0000-0300-00000D000000}" name="Males with medium formal education24" dataDxfId="21" totalsRowDxfId="20">
      <calculatedColumnFormula>K3/O3</calculatedColumnFormula>
    </tableColumn>
    <tableColumn id="20" xr3:uid="{00000000-0010-0000-0300-000014000000}" name="Females with medium formal education25" dataDxfId="19" totalsRowDxfId="18">
      <calculatedColumnFormula>L3/O3</calculatedColumnFormula>
    </tableColumn>
    <tableColumn id="21" xr3:uid="{00000000-0010-0000-0300-000015000000}" name="Males with high formal education26" dataDxfId="17" totalsRowDxfId="16">
      <calculatedColumnFormula>M3/O3</calculatedColumnFormula>
    </tableColumn>
    <tableColumn id="22" xr3:uid="{00000000-0010-0000-0300-000016000000}" name="Females with high formal education27" dataDxfId="15" totalsRowDxfId="14">
      <calculatedColumnFormula>N3/O3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áblázat3" displayName="Táblázat3" ref="A1:H40" totalsRowShown="0" headerRowDxfId="13">
  <autoFilter ref="A1:H40" xr:uid="{00000000-0009-0000-0100-000003000000}"/>
  <tableColumns count="8">
    <tableColumn id="1" xr3:uid="{00000000-0010-0000-0400-000001000000}" name="Ország" dataDxfId="12" dataCellStyle="Normál 2"/>
    <tableColumn id="2" xr3:uid="{00000000-0010-0000-0400-000002000000}" name="AGE/SEX  CyberSec  Index" dataDxfId="11"/>
    <tableColumn id="3" xr3:uid="{00000000-0010-0000-0400-000003000000}" name="Education Cybersecu Index" dataDxfId="10"/>
    <tableColumn id="4" xr3:uid="{00000000-0010-0000-0400-000004000000}" name="experienced no cyber threat"/>
    <tableColumn id="5" xr3:uid="{00000000-0010-0000-0400-000005000000}" name="." dataDxfId="9"/>
    <tableColumn id="6" xr3:uid="{00000000-0010-0000-0400-000006000000}" name="Age+Edu = Index1" dataDxfId="8">
      <calculatedColumnFormula>B2+C2</calculatedColumnFormula>
    </tableColumn>
    <tableColumn id="7" xr3:uid="{00000000-0010-0000-0400-000007000000}" name="Age+Edu * not exp attack % / 100"/>
    <tableColumn id="8" xr3:uid="{00000000-0010-0000-0400-000008000000}" name="Összesítés - az alanyok akiket nem ért semmilyen probléme = index2 " dataDxfId="7">
      <calculatedColumnFormula>F2-G2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áblázat5" displayName="Táblázat5" ref="K1:K1048576" totalsRowShown="0" headerRowDxfId="6">
  <autoFilter ref="K1:K1048576" xr:uid="{00000000-0009-0000-0100-000005000000}"/>
  <sortState xmlns:xlrd2="http://schemas.microsoft.com/office/spreadsheetml/2017/richdata2" ref="K2:K1048576">
    <sortCondition ref="K1:K1048576"/>
  </sortState>
  <tableColumns count="1">
    <tableColumn id="1" xr3:uid="{00000000-0010-0000-0500-000001000000}" name="Kettő index összegzése(Opcionális,Nemtudom hogy helyes e)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/>
  </sheetViews>
  <sheetFormatPr defaultRowHeight="14.4" x14ac:dyDescent="0.3"/>
  <cols>
    <col min="1" max="1" width="55" bestFit="1" customWidth="1"/>
    <col min="2" max="2" width="18.88671875" customWidth="1"/>
  </cols>
  <sheetData>
    <row r="1" spans="1:2" x14ac:dyDescent="0.3">
      <c r="A1" s="42" t="s">
        <v>99</v>
      </c>
      <c r="B1" s="52" t="s">
        <v>103</v>
      </c>
    </row>
    <row r="2" spans="1:2" x14ac:dyDescent="0.3">
      <c r="A2" s="42" t="s">
        <v>46</v>
      </c>
      <c r="B2" s="37">
        <v>2862427</v>
      </c>
    </row>
    <row r="3" spans="1:2" x14ac:dyDescent="0.3">
      <c r="A3" s="42" t="s">
        <v>31</v>
      </c>
      <c r="B3" s="36">
        <v>8858775</v>
      </c>
    </row>
    <row r="4" spans="1:2" x14ac:dyDescent="0.3">
      <c r="A4" s="42" t="s">
        <v>12</v>
      </c>
      <c r="B4" s="36">
        <v>11455519</v>
      </c>
    </row>
    <row r="5" spans="1:2" x14ac:dyDescent="0.3">
      <c r="A5" s="42" t="s">
        <v>43</v>
      </c>
      <c r="B5" s="37">
        <v>3492018</v>
      </c>
    </row>
    <row r="6" spans="1:2" x14ac:dyDescent="0.3">
      <c r="A6" s="42" t="s">
        <v>13</v>
      </c>
      <c r="B6" s="37">
        <v>7000039</v>
      </c>
    </row>
    <row r="7" spans="1:2" x14ac:dyDescent="0.3">
      <c r="A7" s="42" t="s">
        <v>22</v>
      </c>
      <c r="B7" s="37">
        <v>4076246</v>
      </c>
    </row>
    <row r="8" spans="1:2" x14ac:dyDescent="0.3">
      <c r="A8" s="42" t="s">
        <v>24</v>
      </c>
      <c r="B8" s="37">
        <v>875899</v>
      </c>
    </row>
    <row r="9" spans="1:2" x14ac:dyDescent="0.3">
      <c r="A9" s="42" t="s">
        <v>14</v>
      </c>
      <c r="B9" s="36">
        <v>10649800</v>
      </c>
    </row>
    <row r="10" spans="1:2" x14ac:dyDescent="0.3">
      <c r="A10" s="42" t="s">
        <v>15</v>
      </c>
      <c r="B10" s="37">
        <v>5806081</v>
      </c>
    </row>
    <row r="11" spans="1:2" x14ac:dyDescent="0.3">
      <c r="A11" s="42" t="s">
        <v>17</v>
      </c>
      <c r="B11" s="37">
        <v>1324820</v>
      </c>
    </row>
    <row r="12" spans="1:2" x14ac:dyDescent="0.3">
      <c r="A12" s="42" t="s">
        <v>37</v>
      </c>
      <c r="B12" s="36">
        <v>5517919</v>
      </c>
    </row>
    <row r="13" spans="1:2" x14ac:dyDescent="0.3">
      <c r="A13" s="42" t="s">
        <v>21</v>
      </c>
      <c r="B13" s="37">
        <v>67290471</v>
      </c>
    </row>
    <row r="14" spans="1:2" x14ac:dyDescent="0.3">
      <c r="A14" s="42" t="s">
        <v>16</v>
      </c>
      <c r="B14" s="36">
        <v>83019213</v>
      </c>
    </row>
    <row r="15" spans="1:2" x14ac:dyDescent="0.3">
      <c r="A15" s="42" t="s">
        <v>19</v>
      </c>
      <c r="B15" s="37">
        <v>10724599</v>
      </c>
    </row>
    <row r="16" spans="1:2" x14ac:dyDescent="0.3">
      <c r="A16" s="42" t="s">
        <v>28</v>
      </c>
      <c r="B16" s="37">
        <v>9772756</v>
      </c>
    </row>
    <row r="17" spans="1:2" x14ac:dyDescent="0.3">
      <c r="A17" s="42" t="s">
        <v>39</v>
      </c>
      <c r="B17" s="36">
        <v>356991</v>
      </c>
    </row>
    <row r="18" spans="1:2" x14ac:dyDescent="0.3">
      <c r="A18" s="42" t="s">
        <v>18</v>
      </c>
      <c r="B18" s="36">
        <v>4904240</v>
      </c>
    </row>
    <row r="19" spans="1:2" x14ac:dyDescent="0.3">
      <c r="A19" s="42" t="s">
        <v>23</v>
      </c>
      <c r="B19" s="36">
        <v>59816673</v>
      </c>
    </row>
    <row r="20" spans="1:2" x14ac:dyDescent="0.3">
      <c r="A20" s="42" t="s">
        <v>49</v>
      </c>
      <c r="B20" s="37">
        <v>1795666</v>
      </c>
    </row>
    <row r="21" spans="1:2" x14ac:dyDescent="0.3">
      <c r="A21" s="42" t="s">
        <v>25</v>
      </c>
      <c r="B21" s="36">
        <v>1919968</v>
      </c>
    </row>
    <row r="22" spans="1:2" x14ac:dyDescent="0.3">
      <c r="A22" s="42" t="s">
        <v>26</v>
      </c>
      <c r="B22" s="37">
        <v>2794184</v>
      </c>
    </row>
    <row r="23" spans="1:2" x14ac:dyDescent="0.3">
      <c r="A23" s="42" t="s">
        <v>27</v>
      </c>
      <c r="B23" s="36">
        <v>613894</v>
      </c>
    </row>
    <row r="24" spans="1:2" x14ac:dyDescent="0.3">
      <c r="A24" s="42" t="s">
        <v>29</v>
      </c>
      <c r="B24" s="36">
        <v>493559</v>
      </c>
    </row>
    <row r="25" spans="1:2" x14ac:dyDescent="0.3">
      <c r="A25" s="42" t="s">
        <v>44</v>
      </c>
      <c r="B25" s="36">
        <v>622182</v>
      </c>
    </row>
    <row r="26" spans="1:2" x14ac:dyDescent="0.3">
      <c r="A26" s="42" t="s">
        <v>30</v>
      </c>
      <c r="B26" s="37">
        <v>17282163</v>
      </c>
    </row>
    <row r="27" spans="1:2" x14ac:dyDescent="0.3">
      <c r="A27" s="42" t="s">
        <v>45</v>
      </c>
      <c r="B27" s="36">
        <v>2077132</v>
      </c>
    </row>
    <row r="28" spans="1:2" x14ac:dyDescent="0.3">
      <c r="A28" s="42" t="s">
        <v>40</v>
      </c>
      <c r="B28" s="36">
        <v>5328212</v>
      </c>
    </row>
    <row r="29" spans="1:2" x14ac:dyDescent="0.3">
      <c r="A29" s="42" t="s">
        <v>32</v>
      </c>
      <c r="B29" s="37">
        <v>37972812</v>
      </c>
    </row>
    <row r="30" spans="1:2" x14ac:dyDescent="0.3">
      <c r="A30" s="42" t="s">
        <v>33</v>
      </c>
      <c r="B30" s="36">
        <v>10276617</v>
      </c>
    </row>
    <row r="31" spans="1:2" x14ac:dyDescent="0.3">
      <c r="A31" s="42" t="s">
        <v>34</v>
      </c>
      <c r="B31" s="37">
        <v>19414458</v>
      </c>
    </row>
    <row r="32" spans="1:2" x14ac:dyDescent="0.3">
      <c r="A32" s="42" t="s">
        <v>47</v>
      </c>
      <c r="B32" s="36">
        <v>6963764</v>
      </c>
    </row>
    <row r="33" spans="1:2" x14ac:dyDescent="0.3">
      <c r="A33" s="42" t="s">
        <v>36</v>
      </c>
      <c r="B33" s="37">
        <v>5450421</v>
      </c>
    </row>
    <row r="34" spans="1:2" x14ac:dyDescent="0.3">
      <c r="A34" s="42" t="s">
        <v>35</v>
      </c>
      <c r="B34" s="36">
        <v>2080908</v>
      </c>
    </row>
    <row r="35" spans="1:2" x14ac:dyDescent="0.3">
      <c r="A35" s="42" t="s">
        <v>20</v>
      </c>
      <c r="B35" s="36">
        <v>46937060</v>
      </c>
    </row>
    <row r="36" spans="1:2" x14ac:dyDescent="0.3">
      <c r="A36" s="42" t="s">
        <v>38</v>
      </c>
      <c r="B36" s="37">
        <v>10230185</v>
      </c>
    </row>
    <row r="37" spans="1:2" x14ac:dyDescent="0.3">
      <c r="A37" s="42" t="s">
        <v>41</v>
      </c>
      <c r="B37" s="37">
        <v>8544527</v>
      </c>
    </row>
    <row r="38" spans="1:2" x14ac:dyDescent="0.3">
      <c r="A38" s="42" t="s">
        <v>48</v>
      </c>
      <c r="B38" s="37">
        <v>82003882</v>
      </c>
    </row>
    <row r="39" spans="1:2" x14ac:dyDescent="0.3">
      <c r="A39" s="42" t="s">
        <v>42</v>
      </c>
      <c r="B39" s="36">
        <v>66647112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"/>
  <sheetViews>
    <sheetView zoomScale="49" zoomScaleNormal="70" workbookViewId="0"/>
  </sheetViews>
  <sheetFormatPr defaultColWidth="20.21875" defaultRowHeight="14.4" x14ac:dyDescent="0.3"/>
  <cols>
    <col min="1" max="1" width="60.21875" bestFit="1" customWidth="1"/>
    <col min="2" max="11" width="20.21875" style="5"/>
    <col min="13" max="14" width="20.21875" style="5"/>
  </cols>
  <sheetData>
    <row r="1" spans="1:17" x14ac:dyDescent="0.3">
      <c r="A1" s="20" t="s">
        <v>50</v>
      </c>
    </row>
    <row r="2" spans="1:17" x14ac:dyDescent="0.3">
      <c r="A2" s="20" t="s">
        <v>54</v>
      </c>
      <c r="B2" s="5">
        <v>1</v>
      </c>
      <c r="C2" s="5">
        <v>1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0</v>
      </c>
      <c r="L2" s="5">
        <v>1</v>
      </c>
      <c r="M2" s="5">
        <v>0</v>
      </c>
      <c r="N2" s="5" t="s">
        <v>53</v>
      </c>
      <c r="O2" t="s">
        <v>53</v>
      </c>
      <c r="P2">
        <v>0</v>
      </c>
    </row>
    <row r="3" spans="1:17" ht="15" thickBot="1" x14ac:dyDescent="0.35">
      <c r="A3" s="20" t="s">
        <v>52</v>
      </c>
      <c r="B3" s="5" t="s">
        <v>60</v>
      </c>
      <c r="C3" s="5" t="s">
        <v>60</v>
      </c>
      <c r="D3" s="5" t="s">
        <v>60</v>
      </c>
      <c r="E3" s="5" t="s">
        <v>60</v>
      </c>
      <c r="F3" s="5" t="s">
        <v>60</v>
      </c>
      <c r="G3" s="5" t="s">
        <v>60</v>
      </c>
      <c r="H3" s="5" t="s">
        <v>60</v>
      </c>
      <c r="I3" s="5" t="s">
        <v>60</v>
      </c>
      <c r="J3" s="5" t="s">
        <v>60</v>
      </c>
      <c r="K3" s="5" t="s">
        <v>60</v>
      </c>
      <c r="L3" s="5" t="s">
        <v>60</v>
      </c>
      <c r="M3" s="5" t="s">
        <v>60</v>
      </c>
      <c r="N3" s="5" t="s">
        <v>53</v>
      </c>
      <c r="O3" s="5" t="s">
        <v>56</v>
      </c>
      <c r="P3" s="5" t="s">
        <v>61</v>
      </c>
    </row>
    <row r="4" spans="1:17" s="19" customFormat="1" ht="103.2" customHeight="1" thickBot="1" x14ac:dyDescent="0.3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6" t="s">
        <v>10</v>
      </c>
      <c r="K4" s="15" t="s">
        <v>9</v>
      </c>
      <c r="L4" s="19" t="s">
        <v>57</v>
      </c>
      <c r="M4" s="17" t="s">
        <v>58</v>
      </c>
      <c r="N4" s="18" t="s">
        <v>51</v>
      </c>
      <c r="O4" s="21" t="s">
        <v>55</v>
      </c>
      <c r="P4" s="21" t="s">
        <v>59</v>
      </c>
      <c r="Q4" s="21" t="s">
        <v>62</v>
      </c>
    </row>
    <row r="5" spans="1:17" ht="15" thickBot="1" x14ac:dyDescent="0.35">
      <c r="A5" s="13" t="s">
        <v>46</v>
      </c>
      <c r="B5" s="1">
        <v>0.04</v>
      </c>
      <c r="C5" s="6" t="s">
        <v>11</v>
      </c>
      <c r="D5" s="1">
        <v>1.17</v>
      </c>
      <c r="E5" s="6" t="s">
        <v>11</v>
      </c>
      <c r="F5" s="1">
        <v>0.82</v>
      </c>
      <c r="G5" s="1">
        <v>0.76</v>
      </c>
      <c r="H5" s="1">
        <v>1.52</v>
      </c>
      <c r="I5" s="1">
        <v>0.01</v>
      </c>
      <c r="J5" s="10">
        <v>1.96</v>
      </c>
      <c r="K5" s="1">
        <v>65.59</v>
      </c>
      <c r="L5" s="23">
        <f>AVERAGE(Táblázat1[[#This Row],[Fraudulent credit or debit card use]:[Children accessing inappropriate web-sites]])</f>
        <v>0.89714285714285713</v>
      </c>
      <c r="M5" s="22">
        <f>Táblázat1[[#This Row],[Experienced no security related problem]]</f>
        <v>65.59</v>
      </c>
      <c r="N5" s="112">
        <f t="shared" ref="N5:N42" si="0">AVERAGE(B5:K5)</f>
        <v>8.9837500000000006</v>
      </c>
      <c r="O5" s="23">
        <f>SUM(Táblázat1[[#This Row],[Fraudulent credit or debit card use]:[Experienced no security related problem]])</f>
        <v>71.87</v>
      </c>
      <c r="P5" s="23">
        <f>Táblázat1[[#This Row],[positive]]/Táblázat1[[#This Row],[negative]]</f>
        <v>73.109872611464979</v>
      </c>
    </row>
    <row r="6" spans="1:17" ht="15" thickBot="1" x14ac:dyDescent="0.35">
      <c r="A6" s="13" t="s">
        <v>31</v>
      </c>
      <c r="B6" s="2">
        <v>2.06</v>
      </c>
      <c r="C6" s="2">
        <v>0.82</v>
      </c>
      <c r="D6" s="2">
        <v>30.02</v>
      </c>
      <c r="E6" s="2">
        <v>14.25</v>
      </c>
      <c r="F6" s="2">
        <v>0.66</v>
      </c>
      <c r="G6" s="2">
        <v>1.88</v>
      </c>
      <c r="H6" s="2">
        <v>0.63</v>
      </c>
      <c r="I6" s="2">
        <v>0.39</v>
      </c>
      <c r="J6" s="9">
        <v>0.9</v>
      </c>
      <c r="K6" s="2">
        <v>51.99</v>
      </c>
      <c r="L6" s="23">
        <f>AVERAGE(Táblázat1[[#This Row],[Fraudulent credit or debit card use]:[Children accessing inappropriate web-sites]])</f>
        <v>5.7344444444444447</v>
      </c>
      <c r="M6" s="22">
        <f>Táblázat1[[#This Row],[Experienced no security related problem]]</f>
        <v>51.99</v>
      </c>
      <c r="N6" s="112">
        <f t="shared" si="0"/>
        <v>10.36</v>
      </c>
      <c r="O6" s="23">
        <f>SUM(Táblázat1[[#This Row],[Fraudulent credit or debit card use]:[Experienced no security related problem]])</f>
        <v>103.6</v>
      </c>
      <c r="P6" s="23">
        <f>Táblázat1[[#This Row],[positive]]/Táblázat1[[#This Row],[negative]]</f>
        <v>9.0662662274752961</v>
      </c>
    </row>
    <row r="7" spans="1:17" ht="15" thickBot="1" x14ac:dyDescent="0.35">
      <c r="A7" s="13" t="s">
        <v>12</v>
      </c>
      <c r="B7" s="1">
        <v>1.95</v>
      </c>
      <c r="C7" s="1">
        <v>0.65</v>
      </c>
      <c r="D7" s="1">
        <v>22.13</v>
      </c>
      <c r="E7" s="1">
        <v>7.87</v>
      </c>
      <c r="F7" s="1">
        <v>0.79</v>
      </c>
      <c r="G7" s="1">
        <v>2.59</v>
      </c>
      <c r="H7" s="1">
        <v>1.24</v>
      </c>
      <c r="I7" s="1">
        <v>1.1100000000000001</v>
      </c>
      <c r="J7" s="8">
        <v>1.7</v>
      </c>
      <c r="K7" s="4">
        <v>63.4</v>
      </c>
      <c r="L7" s="23">
        <f>AVERAGE(Táblázat1[[#This Row],[Fraudulent credit or debit card use]:[Children accessing inappropriate web-sites]])</f>
        <v>4.4477777777777785</v>
      </c>
      <c r="M7" s="22">
        <f>Táblázat1[[#This Row],[Experienced no security related problem]]</f>
        <v>63.4</v>
      </c>
      <c r="N7" s="112">
        <f t="shared" si="0"/>
        <v>10.343</v>
      </c>
      <c r="O7" s="23">
        <f>SUM(Táblázat1[[#This Row],[Fraudulent credit or debit card use]:[Experienced no security related problem]])</f>
        <v>103.43</v>
      </c>
      <c r="P7" s="23">
        <f>Táblázat1[[#This Row],[positive]]/Táblázat1[[#This Row],[negative]]</f>
        <v>14.25430926804896</v>
      </c>
    </row>
    <row r="8" spans="1:17" ht="15" thickBot="1" x14ac:dyDescent="0.35">
      <c r="A8" s="13" t="s">
        <v>43</v>
      </c>
      <c r="B8" s="2">
        <v>0.18</v>
      </c>
      <c r="C8" s="2">
        <v>0.13</v>
      </c>
      <c r="D8" s="2">
        <v>1.43</v>
      </c>
      <c r="E8" s="2">
        <v>1.62</v>
      </c>
      <c r="F8" s="2">
        <v>0.22</v>
      </c>
      <c r="G8" s="2">
        <v>0.47</v>
      </c>
      <c r="H8" s="2">
        <v>0.76</v>
      </c>
      <c r="I8" s="2">
        <v>0.04</v>
      </c>
      <c r="J8" s="11">
        <v>2.34</v>
      </c>
      <c r="K8" s="2">
        <v>65.989999999999995</v>
      </c>
      <c r="L8" s="23">
        <f>AVERAGE(Táblázat1[[#This Row],[Fraudulent credit or debit card use]:[Children accessing inappropriate web-sites]])</f>
        <v>0.79888888888888898</v>
      </c>
      <c r="M8" s="22">
        <f>Táblázat1[[#This Row],[Experienced no security related problem]]</f>
        <v>65.989999999999995</v>
      </c>
      <c r="N8" s="112">
        <f t="shared" si="0"/>
        <v>7.3179999999999996</v>
      </c>
      <c r="O8" s="23">
        <f>SUM(Táblázat1[[#This Row],[Fraudulent credit or debit card use]:[Experienced no security related problem]])</f>
        <v>73.179999999999993</v>
      </c>
      <c r="P8" s="23">
        <f>Táblázat1[[#This Row],[positive]]/Táblázat1[[#This Row],[negative]]</f>
        <v>82.602225312934621</v>
      </c>
    </row>
    <row r="9" spans="1:17" ht="15" thickBot="1" x14ac:dyDescent="0.35">
      <c r="A9" s="13" t="s">
        <v>13</v>
      </c>
      <c r="B9" s="2">
        <v>0.45</v>
      </c>
      <c r="C9" s="2">
        <v>0.06</v>
      </c>
      <c r="D9" s="2">
        <v>7.98</v>
      </c>
      <c r="E9" s="2">
        <v>2.21</v>
      </c>
      <c r="F9" s="3">
        <v>0.7</v>
      </c>
      <c r="G9" s="2">
        <v>1.02</v>
      </c>
      <c r="H9" s="2">
        <v>3.97</v>
      </c>
      <c r="I9" s="3">
        <v>0.1</v>
      </c>
      <c r="J9" s="9">
        <v>1.4</v>
      </c>
      <c r="K9" s="3">
        <v>56.2</v>
      </c>
      <c r="L9" s="23">
        <f>AVERAGE(Táblázat1[[#This Row],[Fraudulent credit or debit card use]:[Children accessing inappropriate web-sites]])</f>
        <v>1.9877777777777774</v>
      </c>
      <c r="M9" s="22">
        <f>Táblázat1[[#This Row],[Experienced no security related problem]]</f>
        <v>56.2</v>
      </c>
      <c r="N9" s="112">
        <f t="shared" si="0"/>
        <v>7.4090000000000007</v>
      </c>
      <c r="O9" s="23">
        <f>SUM(Táblázat1[[#This Row],[Fraudulent credit or debit card use]:[Experienced no security related problem]])</f>
        <v>74.09</v>
      </c>
      <c r="P9" s="23">
        <f>Táblázat1[[#This Row],[positive]]/Táblázat1[[#This Row],[negative]]</f>
        <v>28.272778088317501</v>
      </c>
    </row>
    <row r="10" spans="1:17" ht="15" thickBot="1" x14ac:dyDescent="0.35">
      <c r="A10" s="13" t="s">
        <v>22</v>
      </c>
      <c r="B10" s="1">
        <v>1.54</v>
      </c>
      <c r="C10" s="1">
        <v>0.48</v>
      </c>
      <c r="D10" s="4">
        <v>9.4</v>
      </c>
      <c r="E10" s="1">
        <v>10.23</v>
      </c>
      <c r="F10" s="1">
        <v>0.74</v>
      </c>
      <c r="G10" s="1">
        <v>2.11</v>
      </c>
      <c r="H10" s="1">
        <v>4.79</v>
      </c>
      <c r="I10" s="1">
        <v>0.28000000000000003</v>
      </c>
      <c r="J10" s="10">
        <v>1.49</v>
      </c>
      <c r="K10" s="1">
        <v>61.45</v>
      </c>
      <c r="L10" s="23">
        <f>AVERAGE(Táblázat1[[#This Row],[Fraudulent credit or debit card use]:[Children accessing inappropriate web-sites]])</f>
        <v>3.4511111111111106</v>
      </c>
      <c r="M10" s="22">
        <f>Táblázat1[[#This Row],[Experienced no security related problem]]</f>
        <v>61.45</v>
      </c>
      <c r="N10" s="112">
        <f t="shared" si="0"/>
        <v>9.2509999999999994</v>
      </c>
      <c r="O10" s="23">
        <f>SUM(Táblázat1[[#This Row],[Fraudulent credit or debit card use]:[Experienced no security related problem]])</f>
        <v>92.509999999999991</v>
      </c>
      <c r="P10" s="23">
        <f>Táblázat1[[#This Row],[positive]]/Táblázat1[[#This Row],[negative]]</f>
        <v>17.805859626529301</v>
      </c>
    </row>
    <row r="11" spans="1:17" ht="15" thickBot="1" x14ac:dyDescent="0.35">
      <c r="A11" s="13" t="s">
        <v>24</v>
      </c>
      <c r="B11" s="1">
        <v>0.89</v>
      </c>
      <c r="C11" s="4">
        <v>0.6</v>
      </c>
      <c r="D11" s="1">
        <v>18.82</v>
      </c>
      <c r="E11" s="1">
        <v>8.16</v>
      </c>
      <c r="F11" s="1">
        <v>0.49</v>
      </c>
      <c r="G11" s="4">
        <v>0.5</v>
      </c>
      <c r="H11" s="1">
        <v>0.44</v>
      </c>
      <c r="I11" s="1">
        <v>0.28999999999999998</v>
      </c>
      <c r="J11" s="10">
        <v>0.76</v>
      </c>
      <c r="K11" s="1">
        <v>65.11</v>
      </c>
      <c r="L11" s="23">
        <f>AVERAGE(Táblázat1[[#This Row],[Fraudulent credit or debit card use]:[Children accessing inappropriate web-sites]])</f>
        <v>3.4388888888888887</v>
      </c>
      <c r="M11" s="22">
        <f>Táblázat1[[#This Row],[Experienced no security related problem]]</f>
        <v>65.11</v>
      </c>
      <c r="N11" s="112">
        <f t="shared" si="0"/>
        <v>9.6059999999999999</v>
      </c>
      <c r="O11" s="23">
        <f>SUM(Táblázat1[[#This Row],[Fraudulent credit or debit card use]:[Experienced no security related problem]])</f>
        <v>96.06</v>
      </c>
      <c r="P11" s="23">
        <f>Táblázat1[[#This Row],[positive]]/Táblázat1[[#This Row],[negative]]</f>
        <v>18.933441033925689</v>
      </c>
    </row>
    <row r="12" spans="1:17" ht="15" thickBot="1" x14ac:dyDescent="0.35">
      <c r="A12" s="13" t="s">
        <v>14</v>
      </c>
      <c r="B12" s="1">
        <v>0.59</v>
      </c>
      <c r="C12" s="1">
        <v>0.35</v>
      </c>
      <c r="D12" s="1">
        <v>17.03</v>
      </c>
      <c r="E12" s="1">
        <v>3.64</v>
      </c>
      <c r="F12" s="1">
        <v>0.66</v>
      </c>
      <c r="G12" s="1">
        <v>4.83</v>
      </c>
      <c r="H12" s="1">
        <v>3.05</v>
      </c>
      <c r="I12" s="4">
        <v>0.3</v>
      </c>
      <c r="J12" s="10">
        <v>1.36</v>
      </c>
      <c r="K12" s="1">
        <v>65.45</v>
      </c>
      <c r="L12" s="23">
        <f>AVERAGE(Táblázat1[[#This Row],[Fraudulent credit or debit card use]:[Children accessing inappropriate web-sites]])</f>
        <v>3.5344444444444445</v>
      </c>
      <c r="M12" s="22">
        <f>Táblázat1[[#This Row],[Experienced no security related problem]]</f>
        <v>65.45</v>
      </c>
      <c r="N12" s="112">
        <f t="shared" si="0"/>
        <v>9.7260000000000009</v>
      </c>
      <c r="O12" s="23">
        <f>SUM(Táblázat1[[#This Row],[Fraudulent credit or debit card use]:[Experienced no security related problem]])</f>
        <v>97.26</v>
      </c>
      <c r="P12" s="23">
        <f>Táblázat1[[#This Row],[positive]]/Táblázat1[[#This Row],[negative]]</f>
        <v>18.517761710154041</v>
      </c>
    </row>
    <row r="13" spans="1:17" ht="15" thickBot="1" x14ac:dyDescent="0.35">
      <c r="A13" s="13" t="s">
        <v>15</v>
      </c>
      <c r="B13" s="2">
        <v>5.63</v>
      </c>
      <c r="C13" s="2">
        <v>1.1599999999999999</v>
      </c>
      <c r="D13" s="2">
        <v>45.35</v>
      </c>
      <c r="E13" s="2">
        <v>14.65</v>
      </c>
      <c r="F13" s="2">
        <v>1.35</v>
      </c>
      <c r="G13" s="2">
        <v>2.68</v>
      </c>
      <c r="H13" s="3">
        <v>1.8</v>
      </c>
      <c r="I13" s="3">
        <v>2.7</v>
      </c>
      <c r="J13" s="11">
        <v>1.99</v>
      </c>
      <c r="K13" s="2">
        <v>47.24</v>
      </c>
      <c r="L13" s="23">
        <f>AVERAGE(Táblázat1[[#This Row],[Fraudulent credit or debit card use]:[Children accessing inappropriate web-sites]])</f>
        <v>8.59</v>
      </c>
      <c r="M13" s="22">
        <f>Táblázat1[[#This Row],[Experienced no security related problem]]</f>
        <v>47.24</v>
      </c>
      <c r="N13" s="112">
        <f t="shared" si="0"/>
        <v>12.455000000000002</v>
      </c>
      <c r="O13" s="23">
        <f>SUM(Táblázat1[[#This Row],[Fraudulent credit or debit card use]:[Experienced no security related problem]])</f>
        <v>124.55000000000001</v>
      </c>
      <c r="P13" s="23">
        <f>Táblázat1[[#This Row],[positive]]/Táblázat1[[#This Row],[negative]]</f>
        <v>5.4994179278230506</v>
      </c>
    </row>
    <row r="14" spans="1:17" ht="15" thickBot="1" x14ac:dyDescent="0.35">
      <c r="A14" s="13" t="s">
        <v>17</v>
      </c>
      <c r="B14" s="2">
        <v>1.35</v>
      </c>
      <c r="C14" s="2">
        <v>0.87</v>
      </c>
      <c r="D14" s="2">
        <v>27.02</v>
      </c>
      <c r="E14" s="2">
        <v>7.67</v>
      </c>
      <c r="F14" s="2">
        <v>0.92</v>
      </c>
      <c r="G14" s="2">
        <v>3.05</v>
      </c>
      <c r="H14" s="2">
        <v>2.71</v>
      </c>
      <c r="I14" s="2">
        <v>0.77</v>
      </c>
      <c r="J14" s="11">
        <v>1.24</v>
      </c>
      <c r="K14" s="2">
        <v>58.86</v>
      </c>
      <c r="L14" s="23">
        <f>AVERAGE(Táblázat1[[#This Row],[Fraudulent credit or debit card use]:[Children accessing inappropriate web-sites]])</f>
        <v>5.0666666666666664</v>
      </c>
      <c r="M14" s="22">
        <f>Táblázat1[[#This Row],[Experienced no security related problem]]</f>
        <v>58.86</v>
      </c>
      <c r="N14" s="112">
        <f t="shared" si="0"/>
        <v>10.446000000000002</v>
      </c>
      <c r="O14" s="23">
        <f>SUM(Táblázat1[[#This Row],[Fraudulent credit or debit card use]:[Experienced no security related problem]])</f>
        <v>104.46000000000001</v>
      </c>
      <c r="P14" s="23">
        <f>Táblázat1[[#This Row],[positive]]/Táblázat1[[#This Row],[negative]]</f>
        <v>11.617105263157896</v>
      </c>
    </row>
    <row r="15" spans="1:17" ht="15" thickBot="1" x14ac:dyDescent="0.35">
      <c r="A15" s="13" t="s">
        <v>37</v>
      </c>
      <c r="B15" s="3">
        <v>1.7</v>
      </c>
      <c r="C15" s="3">
        <v>0.9</v>
      </c>
      <c r="D15" s="2">
        <v>35.54</v>
      </c>
      <c r="E15" s="2">
        <v>12.66</v>
      </c>
      <c r="F15" s="2">
        <v>0.98</v>
      </c>
      <c r="G15" s="2">
        <v>1.27</v>
      </c>
      <c r="H15" s="2">
        <v>2.38</v>
      </c>
      <c r="I15" s="2">
        <v>0.95</v>
      </c>
      <c r="J15" s="11">
        <v>3.47</v>
      </c>
      <c r="K15" s="2">
        <v>53.95</v>
      </c>
      <c r="L15" s="23">
        <f>AVERAGE(Táblázat1[[#This Row],[Fraudulent credit or debit card use]:[Children accessing inappropriate web-sites]])</f>
        <v>6.65</v>
      </c>
      <c r="M15" s="22">
        <f>Táblázat1[[#This Row],[Experienced no security related problem]]</f>
        <v>53.95</v>
      </c>
      <c r="N15" s="112">
        <f t="shared" si="0"/>
        <v>11.38</v>
      </c>
      <c r="O15" s="23">
        <f>SUM(Táblázat1[[#This Row],[Fraudulent credit or debit card use]:[Experienced no security related problem]])</f>
        <v>113.80000000000001</v>
      </c>
      <c r="P15" s="23">
        <f>Táblázat1[[#This Row],[positive]]/Táblázat1[[#This Row],[negative]]</f>
        <v>8.1127819548872182</v>
      </c>
    </row>
    <row r="16" spans="1:17" ht="15" thickBot="1" x14ac:dyDescent="0.35">
      <c r="A16" s="13" t="s">
        <v>21</v>
      </c>
      <c r="B16" s="3">
        <v>5.4</v>
      </c>
      <c r="C16" s="2">
        <v>1.06</v>
      </c>
      <c r="D16" s="2">
        <v>39.08</v>
      </c>
      <c r="E16" s="2">
        <v>19.71</v>
      </c>
      <c r="F16" s="2">
        <v>3.14</v>
      </c>
      <c r="G16" s="2">
        <v>3.36</v>
      </c>
      <c r="H16" s="2">
        <v>2.81</v>
      </c>
      <c r="I16" s="2">
        <v>1.55</v>
      </c>
      <c r="J16" s="11">
        <v>2.68</v>
      </c>
      <c r="K16" s="2">
        <v>44.06</v>
      </c>
      <c r="L16" s="23">
        <f>AVERAGE(Táblázat1[[#This Row],[Fraudulent credit or debit card use]:[Children accessing inappropriate web-sites]])</f>
        <v>8.7544444444444451</v>
      </c>
      <c r="M16" s="22">
        <f>Táblázat1[[#This Row],[Experienced no security related problem]]</f>
        <v>44.06</v>
      </c>
      <c r="N16" s="112">
        <f t="shared" si="0"/>
        <v>12.285</v>
      </c>
      <c r="O16" s="23">
        <f>SUM(Táblázat1[[#This Row],[Fraudulent credit or debit card use]:[Experienced no security related problem]])</f>
        <v>122.85000000000001</v>
      </c>
      <c r="P16" s="23">
        <f>Táblázat1[[#This Row],[positive]]/Táblázat1[[#This Row],[negative]]</f>
        <v>5.0328721919025252</v>
      </c>
    </row>
    <row r="17" spans="1:16" ht="15" thickBot="1" x14ac:dyDescent="0.35">
      <c r="A17" s="13" t="s">
        <v>16</v>
      </c>
      <c r="B17" s="1">
        <v>0.98</v>
      </c>
      <c r="C17" s="1">
        <v>1.35</v>
      </c>
      <c r="D17" s="1">
        <v>36.31</v>
      </c>
      <c r="E17" s="1">
        <v>7.48</v>
      </c>
      <c r="F17" s="1">
        <v>1.24</v>
      </c>
      <c r="G17" s="1">
        <v>2.0499999999999998</v>
      </c>
      <c r="H17" s="1">
        <v>1.1200000000000001</v>
      </c>
      <c r="I17" s="1">
        <v>0.69</v>
      </c>
      <c r="J17" s="10">
        <v>0.99</v>
      </c>
      <c r="K17" s="1">
        <v>53.49</v>
      </c>
      <c r="L17" s="23">
        <f>AVERAGE(Táblázat1[[#This Row],[Fraudulent credit or debit card use]:[Children accessing inappropriate web-sites]])</f>
        <v>5.8011111111111111</v>
      </c>
      <c r="M17" s="22">
        <f>Táblázat1[[#This Row],[Experienced no security related problem]]</f>
        <v>53.49</v>
      </c>
      <c r="N17" s="112">
        <f t="shared" si="0"/>
        <v>10.57</v>
      </c>
      <c r="O17" s="23">
        <f>SUM(Táblázat1[[#This Row],[Fraudulent credit or debit card use]:[Experienced no security related problem]])</f>
        <v>105.7</v>
      </c>
      <c r="P17" s="23">
        <f>Táblázat1[[#This Row],[positive]]/Táblázat1[[#This Row],[negative]]</f>
        <v>9.2206473855583226</v>
      </c>
    </row>
    <row r="18" spans="1:16" ht="15" thickBot="1" x14ac:dyDescent="0.35">
      <c r="A18" s="13" t="s">
        <v>19</v>
      </c>
      <c r="B18" s="2">
        <v>0.57999999999999996</v>
      </c>
      <c r="C18" s="2">
        <v>0.15</v>
      </c>
      <c r="D18" s="2">
        <v>7.94</v>
      </c>
      <c r="E18" s="2">
        <v>5.83</v>
      </c>
      <c r="F18" s="2">
        <v>0.49</v>
      </c>
      <c r="G18" s="2">
        <v>0.92</v>
      </c>
      <c r="H18" s="2">
        <v>2.38</v>
      </c>
      <c r="I18" s="2">
        <v>0.61</v>
      </c>
      <c r="J18" s="9">
        <v>0.9</v>
      </c>
      <c r="K18" s="3">
        <v>63.6</v>
      </c>
      <c r="L18" s="23">
        <f>AVERAGE(Táblázat1[[#This Row],[Fraudulent credit or debit card use]:[Children accessing inappropriate web-sites]])</f>
        <v>2.1999999999999997</v>
      </c>
      <c r="M18" s="22">
        <f>Táblázat1[[#This Row],[Experienced no security related problem]]</f>
        <v>63.6</v>
      </c>
      <c r="N18" s="112">
        <f t="shared" si="0"/>
        <v>8.34</v>
      </c>
      <c r="O18" s="23">
        <f>SUM(Táblázat1[[#This Row],[Fraudulent credit or debit card use]:[Experienced no security related problem]])</f>
        <v>83.4</v>
      </c>
      <c r="P18" s="23">
        <f>Táblázat1[[#This Row],[positive]]/Táblázat1[[#This Row],[negative]]</f>
        <v>28.909090909090914</v>
      </c>
    </row>
    <row r="19" spans="1:16" ht="15" thickBot="1" x14ac:dyDescent="0.35">
      <c r="A19" s="13" t="s">
        <v>28</v>
      </c>
      <c r="B19" s="1">
        <v>4.87</v>
      </c>
      <c r="C19" s="1">
        <v>1.03</v>
      </c>
      <c r="D19" s="4">
        <v>9.3000000000000007</v>
      </c>
      <c r="E19" s="1">
        <v>6.59</v>
      </c>
      <c r="F19" s="1">
        <v>2.0499999999999998</v>
      </c>
      <c r="G19" s="4">
        <v>2.6</v>
      </c>
      <c r="H19" s="1">
        <v>9.2799999999999994</v>
      </c>
      <c r="I19" s="1">
        <v>0.45</v>
      </c>
      <c r="J19" s="10">
        <v>4.78</v>
      </c>
      <c r="K19" s="1">
        <v>61.15</v>
      </c>
      <c r="L19" s="23">
        <f>AVERAGE(Táblázat1[[#This Row],[Fraudulent credit or debit card use]:[Children accessing inappropriate web-sites]])</f>
        <v>4.5500000000000007</v>
      </c>
      <c r="M19" s="22">
        <f>Táblázat1[[#This Row],[Experienced no security related problem]]</f>
        <v>61.15</v>
      </c>
      <c r="N19" s="112">
        <f t="shared" si="0"/>
        <v>10.209999999999999</v>
      </c>
      <c r="O19" s="23">
        <f>SUM(Táblázat1[[#This Row],[Fraudulent credit or debit card use]:[Experienced no security related problem]])</f>
        <v>102.1</v>
      </c>
      <c r="P19" s="23">
        <f>Táblázat1[[#This Row],[positive]]/Táblázat1[[#This Row],[negative]]</f>
        <v>13.439560439560438</v>
      </c>
    </row>
    <row r="20" spans="1:16" ht="15" thickBot="1" x14ac:dyDescent="0.35">
      <c r="A20" s="13" t="s">
        <v>39</v>
      </c>
      <c r="B20" s="3">
        <v>5.4</v>
      </c>
      <c r="C20" s="2">
        <v>1.73</v>
      </c>
      <c r="D20" s="2">
        <v>31.75</v>
      </c>
      <c r="E20" s="3">
        <v>26.2</v>
      </c>
      <c r="F20" s="2">
        <v>2.4900000000000002</v>
      </c>
      <c r="G20" s="3">
        <v>2.4</v>
      </c>
      <c r="H20" s="3">
        <v>3.7</v>
      </c>
      <c r="I20" s="2">
        <v>1.24</v>
      </c>
      <c r="J20" s="11">
        <v>4.1399999999999997</v>
      </c>
      <c r="K20" s="2">
        <v>52.48</v>
      </c>
      <c r="L20" s="23">
        <f>AVERAGE(Táblázat1[[#This Row],[Fraudulent credit or debit card use]:[Children accessing inappropriate web-sites]])</f>
        <v>8.7833333333333332</v>
      </c>
      <c r="M20" s="22">
        <f>Táblázat1[[#This Row],[Experienced no security related problem]]</f>
        <v>52.48</v>
      </c>
      <c r="N20" s="112">
        <f t="shared" si="0"/>
        <v>13.153</v>
      </c>
      <c r="O20" s="23">
        <f>SUM(Táblázat1[[#This Row],[Fraudulent credit or debit card use]:[Experienced no security related problem]])</f>
        <v>131.53</v>
      </c>
      <c r="P20" s="23">
        <f>Táblázat1[[#This Row],[positive]]/Táblázat1[[#This Row],[negative]]</f>
        <v>5.9749525616698289</v>
      </c>
    </row>
    <row r="21" spans="1:16" ht="15" thickBot="1" x14ac:dyDescent="0.35">
      <c r="A21" s="13" t="s">
        <v>18</v>
      </c>
      <c r="B21" s="1">
        <v>0.08</v>
      </c>
      <c r="C21" s="4">
        <v>1.5</v>
      </c>
      <c r="D21" s="1">
        <v>14.38</v>
      </c>
      <c r="E21" s="1">
        <v>8.74</v>
      </c>
      <c r="F21" s="1">
        <v>1.25</v>
      </c>
      <c r="G21" s="1">
        <v>3.12</v>
      </c>
      <c r="H21" s="4">
        <v>1.6</v>
      </c>
      <c r="I21" s="1">
        <v>1.19</v>
      </c>
      <c r="J21" s="10">
        <v>8.74</v>
      </c>
      <c r="K21" s="1">
        <v>70.239999999999995</v>
      </c>
      <c r="L21" s="23">
        <f>AVERAGE(Táblázat1[[#This Row],[Fraudulent credit or debit card use]:[Children accessing inappropriate web-sites]])</f>
        <v>4.511111111111112</v>
      </c>
      <c r="M21" s="22">
        <f>Táblázat1[[#This Row],[Experienced no security related problem]]</f>
        <v>70.239999999999995</v>
      </c>
      <c r="N21" s="112">
        <f t="shared" si="0"/>
        <v>11.084</v>
      </c>
      <c r="O21" s="23">
        <f>SUM(Táblázat1[[#This Row],[Fraudulent credit or debit card use]:[Experienced no security related problem]])</f>
        <v>110.84</v>
      </c>
      <c r="P21" s="23">
        <f>Táblázat1[[#This Row],[positive]]/Táblázat1[[#This Row],[negative]]</f>
        <v>15.57044334975369</v>
      </c>
    </row>
    <row r="22" spans="1:16" ht="15" thickBot="1" x14ac:dyDescent="0.35">
      <c r="A22" s="13" t="s">
        <v>23</v>
      </c>
      <c r="B22" s="2">
        <v>1.89</v>
      </c>
      <c r="C22" s="2">
        <v>0.62</v>
      </c>
      <c r="D22" s="2">
        <v>14.84</v>
      </c>
      <c r="E22" s="2">
        <v>14.36</v>
      </c>
      <c r="F22" s="2">
        <v>1.03</v>
      </c>
      <c r="G22" s="2">
        <v>2.23</v>
      </c>
      <c r="H22" s="2">
        <v>1.78</v>
      </c>
      <c r="I22" s="2">
        <v>1.06</v>
      </c>
      <c r="J22" s="11">
        <v>6.63</v>
      </c>
      <c r="K22" s="2">
        <v>55.76</v>
      </c>
      <c r="L22" s="23">
        <f>AVERAGE(Táblázat1[[#This Row],[Fraudulent credit or debit card use]:[Children accessing inappropriate web-sites]])</f>
        <v>4.9377777777777787</v>
      </c>
      <c r="M22" s="22">
        <f>Táblázat1[[#This Row],[Experienced no security related problem]]</f>
        <v>55.76</v>
      </c>
      <c r="N22" s="112">
        <f t="shared" si="0"/>
        <v>10.02</v>
      </c>
      <c r="O22" s="23">
        <f>SUM(Táblázat1[[#This Row],[Fraudulent credit or debit card use]:[Experienced no security related problem]])</f>
        <v>100.2</v>
      </c>
      <c r="P22" s="23">
        <f>Táblázat1[[#This Row],[positive]]/Táblázat1[[#This Row],[negative]]</f>
        <v>11.29252925292529</v>
      </c>
    </row>
    <row r="23" spans="1:16" ht="15" thickBot="1" x14ac:dyDescent="0.35">
      <c r="A23" s="13" t="s">
        <v>49</v>
      </c>
      <c r="B23" s="2">
        <v>0.45</v>
      </c>
      <c r="C23" s="2">
        <v>0.68</v>
      </c>
      <c r="D23" s="2">
        <v>37.03</v>
      </c>
      <c r="E23" s="2">
        <v>4.08</v>
      </c>
      <c r="F23" s="2">
        <v>0.91</v>
      </c>
      <c r="G23" s="2">
        <v>1.34</v>
      </c>
      <c r="H23" s="6" t="s">
        <v>11</v>
      </c>
      <c r="I23" s="2">
        <v>0.11</v>
      </c>
      <c r="J23" s="12" t="s">
        <v>11</v>
      </c>
      <c r="K23" s="6" t="s">
        <v>11</v>
      </c>
      <c r="L23" s="23">
        <f>AVERAGE(Táblázat1[[#This Row],[Fraudulent credit or debit card use]:[Children accessing inappropriate web-sites]])</f>
        <v>6.3714285714285719</v>
      </c>
      <c r="M23" s="22" t="str">
        <f>Táblázat1[[#This Row],[Experienced no security related problem]]</f>
        <v>:</v>
      </c>
      <c r="N23" s="112">
        <f t="shared" si="0"/>
        <v>6.3714285714285719</v>
      </c>
      <c r="O23" s="23">
        <f>SUM(Táblázat1[[#This Row],[Fraudulent credit or debit card use]:[Experienced no security related problem]])</f>
        <v>44.6</v>
      </c>
      <c r="P23" s="23" t="e">
        <f>Táblázat1[[#This Row],[positive]]/Táblázat1[[#This Row],[negative]]</f>
        <v>#VALUE!</v>
      </c>
    </row>
    <row r="24" spans="1:16" ht="15" thickBot="1" x14ac:dyDescent="0.35">
      <c r="A24" s="13" t="s">
        <v>25</v>
      </c>
      <c r="B24" s="2">
        <v>0.99</v>
      </c>
      <c r="C24" s="2">
        <v>0.51</v>
      </c>
      <c r="D24" s="2">
        <v>5.88</v>
      </c>
      <c r="E24" s="2">
        <v>3.24</v>
      </c>
      <c r="F24" s="3">
        <v>0.6</v>
      </c>
      <c r="G24" s="2">
        <v>2.38</v>
      </c>
      <c r="H24" s="2">
        <v>0.74</v>
      </c>
      <c r="I24" s="2">
        <v>0.39</v>
      </c>
      <c r="J24" s="12" t="s">
        <v>11</v>
      </c>
      <c r="K24" s="2">
        <v>76.45</v>
      </c>
      <c r="L24" s="23">
        <f>AVERAGE(Táblázat1[[#This Row],[Fraudulent credit or debit card use]:[Children accessing inappropriate web-sites]])</f>
        <v>1.8412500000000003</v>
      </c>
      <c r="M24" s="22">
        <f>Táblázat1[[#This Row],[Experienced no security related problem]]</f>
        <v>76.45</v>
      </c>
      <c r="N24" s="112">
        <f t="shared" si="0"/>
        <v>10.131111111111112</v>
      </c>
      <c r="O24" s="23">
        <f>SUM(Táblázat1[[#This Row],[Fraudulent credit or debit card use]:[Experienced no security related problem]])</f>
        <v>91.18</v>
      </c>
      <c r="P24" s="23">
        <f>Táblázat1[[#This Row],[positive]]/Táblázat1[[#This Row],[negative]]</f>
        <v>41.520706042090964</v>
      </c>
    </row>
    <row r="25" spans="1:16" ht="15" thickBot="1" x14ac:dyDescent="0.35">
      <c r="A25" s="13" t="s">
        <v>26</v>
      </c>
      <c r="B25" s="1">
        <v>0.34</v>
      </c>
      <c r="C25" s="1">
        <v>0.14000000000000001</v>
      </c>
      <c r="D25" s="1">
        <v>3.41</v>
      </c>
      <c r="E25" s="1">
        <v>3.24</v>
      </c>
      <c r="F25" s="1">
        <v>0.18</v>
      </c>
      <c r="G25" s="1">
        <v>0.83</v>
      </c>
      <c r="H25" s="1">
        <v>0.64</v>
      </c>
      <c r="I25" s="1">
        <v>0.27</v>
      </c>
      <c r="J25" s="12" t="s">
        <v>11</v>
      </c>
      <c r="K25" s="1">
        <v>75.709999999999994</v>
      </c>
      <c r="L25" s="23">
        <f>AVERAGE(Táblázat1[[#This Row],[Fraudulent credit or debit card use]:[Children accessing inappropriate web-sites]])</f>
        <v>1.1312500000000001</v>
      </c>
      <c r="M25" s="22">
        <f>Táblázat1[[#This Row],[Experienced no security related problem]]</f>
        <v>75.709999999999994</v>
      </c>
      <c r="N25" s="112">
        <f t="shared" si="0"/>
        <v>9.4177777777777774</v>
      </c>
      <c r="O25" s="23">
        <f>SUM(Táblázat1[[#This Row],[Fraudulent credit or debit card use]:[Experienced no security related problem]])</f>
        <v>84.759999999999991</v>
      </c>
      <c r="P25" s="23">
        <f>Táblázat1[[#This Row],[positive]]/Táblázat1[[#This Row],[negative]]</f>
        <v>66.925966850828715</v>
      </c>
    </row>
    <row r="26" spans="1:16" ht="15" thickBot="1" x14ac:dyDescent="0.35">
      <c r="A26" s="13" t="s">
        <v>27</v>
      </c>
      <c r="B26" s="2">
        <v>3.09</v>
      </c>
      <c r="C26" s="2">
        <v>1.37</v>
      </c>
      <c r="D26" s="3">
        <v>27.8</v>
      </c>
      <c r="E26" s="2">
        <v>12.85</v>
      </c>
      <c r="F26" s="2">
        <v>1.74</v>
      </c>
      <c r="G26" s="2">
        <v>3.25</v>
      </c>
      <c r="H26" s="2">
        <v>5.35</v>
      </c>
      <c r="I26" s="2">
        <v>1.02</v>
      </c>
      <c r="J26" s="11">
        <v>2.15</v>
      </c>
      <c r="K26" s="2">
        <v>58.88</v>
      </c>
      <c r="L26" s="23">
        <f>AVERAGE(Táblázat1[[#This Row],[Fraudulent credit or debit card use]:[Children accessing inappropriate web-sites]])</f>
        <v>6.5133333333333336</v>
      </c>
      <c r="M26" s="22">
        <f>Táblázat1[[#This Row],[Experienced no security related problem]]</f>
        <v>58.88</v>
      </c>
      <c r="N26" s="112">
        <f t="shared" si="0"/>
        <v>11.75</v>
      </c>
      <c r="O26" s="23">
        <f>SUM(Táblázat1[[#This Row],[Fraudulent credit or debit card use]:[Experienced no security related problem]])</f>
        <v>117.5</v>
      </c>
      <c r="P26" s="23">
        <f>Táblázat1[[#This Row],[positive]]/Táblázat1[[#This Row],[negative]]</f>
        <v>9.0399181166837259</v>
      </c>
    </row>
    <row r="27" spans="1:16" ht="15" thickBot="1" x14ac:dyDescent="0.35">
      <c r="A27" s="13" t="s">
        <v>29</v>
      </c>
      <c r="B27" s="2">
        <v>4.42</v>
      </c>
      <c r="C27" s="2">
        <v>2.83</v>
      </c>
      <c r="D27" s="3">
        <v>29.6</v>
      </c>
      <c r="E27" s="2">
        <v>25.73</v>
      </c>
      <c r="F27" s="3">
        <v>2.1</v>
      </c>
      <c r="G27" s="2">
        <v>4.46</v>
      </c>
      <c r="H27" s="2">
        <v>4.03</v>
      </c>
      <c r="I27" s="2">
        <v>1.05</v>
      </c>
      <c r="J27" s="9">
        <v>2.2999999999999998</v>
      </c>
      <c r="K27" s="2">
        <v>43.47</v>
      </c>
      <c r="L27" s="23">
        <f>AVERAGE(Táblázat1[[#This Row],[Fraudulent credit or debit card use]:[Children accessing inappropriate web-sites]])</f>
        <v>8.5022222222222208</v>
      </c>
      <c r="M27" s="22">
        <f>Táblázat1[[#This Row],[Experienced no security related problem]]</f>
        <v>43.47</v>
      </c>
      <c r="N27" s="112">
        <f t="shared" si="0"/>
        <v>11.998999999999999</v>
      </c>
      <c r="O27" s="23">
        <f>SUM(Táblázat1[[#This Row],[Fraudulent credit or debit card use]:[Experienced no security related problem]])</f>
        <v>119.98999999999998</v>
      </c>
      <c r="P27" s="23">
        <f>Táblázat1[[#This Row],[positive]]/Táblázat1[[#This Row],[negative]]</f>
        <v>5.1127809722948259</v>
      </c>
    </row>
    <row r="28" spans="1:16" ht="15" thickBot="1" x14ac:dyDescent="0.35">
      <c r="A28" s="13" t="s">
        <v>44</v>
      </c>
      <c r="B28" s="1">
        <v>0.26</v>
      </c>
      <c r="C28" s="1">
        <v>0.36</v>
      </c>
      <c r="D28" s="1">
        <v>2.68</v>
      </c>
      <c r="E28" s="1">
        <v>2.5299999999999998</v>
      </c>
      <c r="F28" s="1">
        <v>0.47</v>
      </c>
      <c r="G28" s="1">
        <v>1.62</v>
      </c>
      <c r="H28" s="1">
        <v>0.44</v>
      </c>
      <c r="I28" s="6" t="s">
        <v>11</v>
      </c>
      <c r="J28" s="12" t="s">
        <v>11</v>
      </c>
      <c r="K28" s="1">
        <v>70.930000000000007</v>
      </c>
      <c r="L28" s="23">
        <f>AVERAGE(Táblázat1[[#This Row],[Fraudulent credit or debit card use]:[Children accessing inappropriate web-sites]])</f>
        <v>1.1942857142857142</v>
      </c>
      <c r="M28" s="22">
        <f>Táblázat1[[#This Row],[Experienced no security related problem]]</f>
        <v>70.930000000000007</v>
      </c>
      <c r="N28" s="112">
        <f t="shared" si="0"/>
        <v>9.9112500000000008</v>
      </c>
      <c r="O28" s="23">
        <f>SUM(Táblázat1[[#This Row],[Fraudulent credit or debit card use]:[Experienced no security related problem]])</f>
        <v>79.290000000000006</v>
      </c>
      <c r="P28" s="23">
        <f>Táblázat1[[#This Row],[positive]]/Táblázat1[[#This Row],[negative]]</f>
        <v>59.391148325358863</v>
      </c>
    </row>
    <row r="29" spans="1:16" ht="15" thickBot="1" x14ac:dyDescent="0.35">
      <c r="A29" s="13" t="s">
        <v>30</v>
      </c>
      <c r="B29" s="1">
        <v>2.1800000000000002</v>
      </c>
      <c r="C29" s="1">
        <v>1.02</v>
      </c>
      <c r="D29" s="1">
        <v>38.11</v>
      </c>
      <c r="E29" s="1">
        <v>10.79</v>
      </c>
      <c r="F29" s="1">
        <v>1.67</v>
      </c>
      <c r="G29" s="1">
        <v>3.19</v>
      </c>
      <c r="H29" s="1">
        <v>1.48</v>
      </c>
      <c r="I29" s="1">
        <v>0.89</v>
      </c>
      <c r="J29" s="10">
        <v>2.72</v>
      </c>
      <c r="K29" s="4">
        <v>54.2</v>
      </c>
      <c r="L29" s="23">
        <f>AVERAGE(Táblázat1[[#This Row],[Fraudulent credit or debit card use]:[Children accessing inappropriate web-sites]])</f>
        <v>6.8944444444444439</v>
      </c>
      <c r="M29" s="22">
        <f>Táblázat1[[#This Row],[Experienced no security related problem]]</f>
        <v>54.2</v>
      </c>
      <c r="N29" s="112">
        <f t="shared" si="0"/>
        <v>11.625</v>
      </c>
      <c r="O29" s="23">
        <f>SUM(Táblázat1[[#This Row],[Fraudulent credit or debit card use]:[Experienced no security related problem]])</f>
        <v>116.25</v>
      </c>
      <c r="P29" s="23">
        <f>Táblázat1[[#This Row],[positive]]/Táblázat1[[#This Row],[negative]]</f>
        <v>7.8614020950846104</v>
      </c>
    </row>
    <row r="30" spans="1:16" ht="15" thickBot="1" x14ac:dyDescent="0.35">
      <c r="A30" s="13" t="s">
        <v>45</v>
      </c>
      <c r="B30" s="2">
        <v>1.19</v>
      </c>
      <c r="C30" s="2">
        <v>0.74</v>
      </c>
      <c r="D30" s="2">
        <v>7.55</v>
      </c>
      <c r="E30" s="3">
        <v>6.8</v>
      </c>
      <c r="F30" s="2">
        <v>0.34</v>
      </c>
      <c r="G30" s="2">
        <v>0.95</v>
      </c>
      <c r="H30" s="3">
        <v>6.3</v>
      </c>
      <c r="I30" s="3">
        <v>0.2</v>
      </c>
      <c r="J30" s="12" t="s">
        <v>11</v>
      </c>
      <c r="K30" s="3">
        <v>64.599999999999994</v>
      </c>
      <c r="L30" s="23">
        <f>AVERAGE(Táblázat1[[#This Row],[Fraudulent credit or debit card use]:[Children accessing inappropriate web-sites]])</f>
        <v>3.00875</v>
      </c>
      <c r="M30" s="22">
        <f>Táblázat1[[#This Row],[Experienced no security related problem]]</f>
        <v>64.599999999999994</v>
      </c>
      <c r="N30" s="112">
        <f t="shared" si="0"/>
        <v>9.8522222222222204</v>
      </c>
      <c r="O30" s="23">
        <f>SUM(Táblázat1[[#This Row],[Fraudulent credit or debit card use]:[Experienced no security related problem]])</f>
        <v>88.669999999999987</v>
      </c>
      <c r="P30" s="23">
        <f>Táblázat1[[#This Row],[positive]]/Táblázat1[[#This Row],[negative]]</f>
        <v>21.470710427918569</v>
      </c>
    </row>
    <row r="31" spans="1:16" ht="15" thickBot="1" x14ac:dyDescent="0.35">
      <c r="A31" s="13" t="s">
        <v>40</v>
      </c>
      <c r="B31" s="1">
        <v>4.3600000000000003</v>
      </c>
      <c r="C31" s="1">
        <v>1.53</v>
      </c>
      <c r="D31" s="1">
        <v>58.75</v>
      </c>
      <c r="E31" s="1">
        <v>29.62</v>
      </c>
      <c r="F31" s="1">
        <v>1.47</v>
      </c>
      <c r="G31" s="1">
        <v>4.62</v>
      </c>
      <c r="H31" s="1">
        <v>2.06</v>
      </c>
      <c r="I31" s="1">
        <v>2.09</v>
      </c>
      <c r="J31" s="12" t="s">
        <v>11</v>
      </c>
      <c r="K31" s="1">
        <v>32.97</v>
      </c>
      <c r="L31" s="23">
        <f>AVERAGE(Táblázat1[[#This Row],[Fraudulent credit or debit card use]:[Children accessing inappropriate web-sites]])</f>
        <v>13.062500000000002</v>
      </c>
      <c r="M31" s="22">
        <f>Táblázat1[[#This Row],[Experienced no security related problem]]</f>
        <v>32.97</v>
      </c>
      <c r="N31" s="112">
        <f t="shared" si="0"/>
        <v>15.274444444444448</v>
      </c>
      <c r="O31" s="23">
        <f>SUM(Táblázat1[[#This Row],[Fraudulent credit or debit card use]:[Experienced no security related problem]])</f>
        <v>137.47000000000003</v>
      </c>
      <c r="P31" s="23">
        <f>Táblázat1[[#This Row],[positive]]/Táblázat1[[#This Row],[negative]]</f>
        <v>2.5240191387559805</v>
      </c>
    </row>
    <row r="32" spans="1:16" ht="15" thickBot="1" x14ac:dyDescent="0.35">
      <c r="A32" s="13" t="s">
        <v>32</v>
      </c>
      <c r="B32" s="4">
        <v>0.4</v>
      </c>
      <c r="C32" s="1">
        <v>0.37</v>
      </c>
      <c r="D32" s="1">
        <v>6.11</v>
      </c>
      <c r="E32" s="1">
        <v>3.98</v>
      </c>
      <c r="F32" s="1">
        <v>0.35</v>
      </c>
      <c r="G32" s="1">
        <v>1.21</v>
      </c>
      <c r="H32" s="1">
        <v>0.71</v>
      </c>
      <c r="I32" s="1">
        <v>0.18</v>
      </c>
      <c r="J32" s="10">
        <v>1.17</v>
      </c>
      <c r="K32" s="4">
        <v>72.599999999999994</v>
      </c>
      <c r="L32" s="23">
        <f>AVERAGE(Táblázat1[[#This Row],[Fraudulent credit or debit card use]:[Children accessing inappropriate web-sites]])</f>
        <v>1.608888888888889</v>
      </c>
      <c r="M32" s="22">
        <f>Táblázat1[[#This Row],[Experienced no security related problem]]</f>
        <v>72.599999999999994</v>
      </c>
      <c r="N32" s="112">
        <f t="shared" si="0"/>
        <v>8.7080000000000002</v>
      </c>
      <c r="O32" s="23">
        <f>SUM(Táblázat1[[#This Row],[Fraudulent credit or debit card use]:[Experienced no security related problem]])</f>
        <v>87.08</v>
      </c>
      <c r="P32" s="23">
        <f>Táblázat1[[#This Row],[positive]]/Táblázat1[[#This Row],[negative]]</f>
        <v>45.124309392265182</v>
      </c>
    </row>
    <row r="33" spans="1:16" ht="15" thickBot="1" x14ac:dyDescent="0.35">
      <c r="A33" s="13" t="s">
        <v>33</v>
      </c>
      <c r="B33" s="2">
        <v>1.36</v>
      </c>
      <c r="C33" s="2">
        <v>0.85</v>
      </c>
      <c r="D33" s="2">
        <v>13.86</v>
      </c>
      <c r="E33" s="2">
        <v>11.39</v>
      </c>
      <c r="F33" s="2">
        <v>0.73</v>
      </c>
      <c r="G33" s="3">
        <v>1.2</v>
      </c>
      <c r="H33" s="2">
        <v>2.91</v>
      </c>
      <c r="I33" s="2">
        <v>0.87</v>
      </c>
      <c r="J33" s="11">
        <v>1.1299999999999999</v>
      </c>
      <c r="K33" s="2">
        <v>55.14</v>
      </c>
      <c r="L33" s="23">
        <f>AVERAGE(Táblázat1[[#This Row],[Fraudulent credit or debit card use]:[Children accessing inappropriate web-sites]])</f>
        <v>3.8111111111111109</v>
      </c>
      <c r="M33" s="22">
        <f>Táblázat1[[#This Row],[Experienced no security related problem]]</f>
        <v>55.14</v>
      </c>
      <c r="N33" s="112">
        <f t="shared" si="0"/>
        <v>8.9439999999999991</v>
      </c>
      <c r="O33" s="23">
        <f>SUM(Táblázat1[[#This Row],[Fraudulent credit or debit card use]:[Experienced no security related problem]])</f>
        <v>89.44</v>
      </c>
      <c r="P33" s="23">
        <f>Táblázat1[[#This Row],[positive]]/Táblázat1[[#This Row],[negative]]</f>
        <v>14.468221574344025</v>
      </c>
    </row>
    <row r="34" spans="1:16" ht="15" thickBot="1" x14ac:dyDescent="0.35">
      <c r="A34" s="13" t="s">
        <v>34</v>
      </c>
      <c r="B34" s="1">
        <v>1.51</v>
      </c>
      <c r="C34" s="1">
        <v>1.26</v>
      </c>
      <c r="D34" s="1">
        <v>30.41</v>
      </c>
      <c r="E34" s="1">
        <v>15.16</v>
      </c>
      <c r="F34" s="6" t="s">
        <v>11</v>
      </c>
      <c r="G34" s="1">
        <v>2.89</v>
      </c>
      <c r="H34" s="6"/>
      <c r="I34" s="7" t="s">
        <v>11</v>
      </c>
      <c r="J34" s="8">
        <v>10.199999999999999</v>
      </c>
      <c r="K34" s="6" t="s">
        <v>11</v>
      </c>
      <c r="L34" s="23">
        <f>AVERAGE(Táblázat1[[#This Row],[Fraudulent credit or debit card use]:[Children accessing inappropriate web-sites]])</f>
        <v>10.238333333333335</v>
      </c>
      <c r="M34" s="22" t="str">
        <f>Táblázat1[[#This Row],[Experienced no security related problem]]</f>
        <v>:</v>
      </c>
      <c r="N34" s="112">
        <f t="shared" si="0"/>
        <v>10.238333333333335</v>
      </c>
      <c r="O34" s="23">
        <f>SUM(Táblázat1[[#This Row],[Fraudulent credit or debit card use]:[Experienced no security related problem]])</f>
        <v>61.430000000000007</v>
      </c>
      <c r="P34" s="23" t="e">
        <f>Táblázat1[[#This Row],[positive]]/Táblázat1[[#This Row],[negative]]</f>
        <v>#VALUE!</v>
      </c>
    </row>
    <row r="35" spans="1:16" ht="15" thickBot="1" x14ac:dyDescent="0.35">
      <c r="A35" s="13" t="s">
        <v>47</v>
      </c>
      <c r="B35" s="2">
        <v>0.26</v>
      </c>
      <c r="C35" s="2">
        <v>0.41</v>
      </c>
      <c r="D35" s="2">
        <v>6.39</v>
      </c>
      <c r="E35" s="2">
        <v>5.47</v>
      </c>
      <c r="F35" s="2">
        <v>0.25</v>
      </c>
      <c r="G35" s="2">
        <v>2.94</v>
      </c>
      <c r="H35" s="2">
        <v>1.32</v>
      </c>
      <c r="I35" s="2">
        <v>0.56000000000000005</v>
      </c>
      <c r="J35" s="11">
        <v>0.33</v>
      </c>
      <c r="K35" s="2">
        <v>66.569999999999993</v>
      </c>
      <c r="L35" s="23">
        <f>AVERAGE(Táblázat1[[#This Row],[Fraudulent credit or debit card use]:[Children accessing inappropriate web-sites]])</f>
        <v>1.9922222222222219</v>
      </c>
      <c r="M35" s="22">
        <f>Táblázat1[[#This Row],[Experienced no security related problem]]</f>
        <v>66.569999999999993</v>
      </c>
      <c r="N35" s="112">
        <f t="shared" si="0"/>
        <v>8.4499999999999993</v>
      </c>
      <c r="O35" s="23">
        <f>SUM(Táblázat1[[#This Row],[Fraudulent credit or debit card use]:[Experienced no security related problem]])</f>
        <v>84.499999999999986</v>
      </c>
      <c r="P35" s="23">
        <f>Táblázat1[[#This Row],[positive]]/Táblázat1[[#This Row],[negative]]</f>
        <v>33.414947016174011</v>
      </c>
    </row>
    <row r="36" spans="1:16" ht="15" thickBot="1" x14ac:dyDescent="0.35">
      <c r="A36" s="13" t="s">
        <v>36</v>
      </c>
      <c r="B36" s="1">
        <v>1.46</v>
      </c>
      <c r="C36" s="1">
        <v>0.56999999999999995</v>
      </c>
      <c r="D36" s="1">
        <v>8.92</v>
      </c>
      <c r="E36" s="1">
        <v>6.15</v>
      </c>
      <c r="F36" s="1">
        <v>2.35</v>
      </c>
      <c r="G36" s="1">
        <v>1.21</v>
      </c>
      <c r="H36" s="1">
        <v>6.27</v>
      </c>
      <c r="I36" s="1">
        <v>0.36</v>
      </c>
      <c r="J36" s="10">
        <v>3.41</v>
      </c>
      <c r="K36" s="1">
        <v>61.45</v>
      </c>
      <c r="L36" s="23">
        <f>AVERAGE(Táblázat1[[#This Row],[Fraudulent credit or debit card use]:[Children accessing inappropriate web-sites]])</f>
        <v>3.4111111111111114</v>
      </c>
      <c r="M36" s="22">
        <f>Táblázat1[[#This Row],[Experienced no security related problem]]</f>
        <v>61.45</v>
      </c>
      <c r="N36" s="112">
        <f t="shared" si="0"/>
        <v>9.2149999999999999</v>
      </c>
      <c r="O36" s="23">
        <f>SUM(Táblázat1[[#This Row],[Fraudulent credit or debit card use]:[Experienced no security related problem]])</f>
        <v>92.15</v>
      </c>
      <c r="P36" s="23">
        <f>Táblázat1[[#This Row],[positive]]/Táblázat1[[#This Row],[negative]]</f>
        <v>18.014657980456025</v>
      </c>
    </row>
    <row r="37" spans="1:16" ht="15" thickBot="1" x14ac:dyDescent="0.35">
      <c r="A37" s="13" t="s">
        <v>35</v>
      </c>
      <c r="B37" s="2">
        <v>1.89</v>
      </c>
      <c r="C37" s="2">
        <v>0.46</v>
      </c>
      <c r="D37" s="2">
        <v>11.22</v>
      </c>
      <c r="E37" s="3">
        <v>6.2</v>
      </c>
      <c r="F37" s="2">
        <v>0.68</v>
      </c>
      <c r="G37" s="2">
        <v>1.04</v>
      </c>
      <c r="H37" s="2">
        <v>1.32</v>
      </c>
      <c r="I37" s="2">
        <v>0.66</v>
      </c>
      <c r="J37" s="11">
        <v>1.28</v>
      </c>
      <c r="K37" s="3">
        <v>67</v>
      </c>
      <c r="L37" s="23">
        <f>AVERAGE(Táblázat1[[#This Row],[Fraudulent credit or debit card use]:[Children accessing inappropriate web-sites]])</f>
        <v>2.75</v>
      </c>
      <c r="M37" s="22">
        <f>Táblázat1[[#This Row],[Experienced no security related problem]]</f>
        <v>67</v>
      </c>
      <c r="N37" s="112">
        <f t="shared" si="0"/>
        <v>9.1750000000000007</v>
      </c>
      <c r="O37" s="23">
        <f>SUM(Táblázat1[[#This Row],[Fraudulent credit or debit card use]:[Experienced no security related problem]])</f>
        <v>91.75</v>
      </c>
      <c r="P37" s="23">
        <f>Táblázat1[[#This Row],[positive]]/Táblázat1[[#This Row],[negative]]</f>
        <v>24.363636363636363</v>
      </c>
    </row>
    <row r="38" spans="1:16" ht="15" thickBot="1" x14ac:dyDescent="0.35">
      <c r="A38" s="13" t="s">
        <v>20</v>
      </c>
      <c r="B38" s="1">
        <v>3.12</v>
      </c>
      <c r="C38" s="4">
        <v>1.1000000000000001</v>
      </c>
      <c r="D38" s="1">
        <v>19.170000000000002</v>
      </c>
      <c r="E38" s="1">
        <v>17.04</v>
      </c>
      <c r="F38" s="1">
        <v>0.95</v>
      </c>
      <c r="G38" s="1">
        <v>1.67</v>
      </c>
      <c r="H38" s="1">
        <v>2.44</v>
      </c>
      <c r="I38" s="1">
        <v>1.07</v>
      </c>
      <c r="J38" s="10">
        <v>2.81</v>
      </c>
      <c r="K38" s="1">
        <v>62.37</v>
      </c>
      <c r="L38" s="23">
        <f>AVERAGE(Táblázat1[[#This Row],[Fraudulent credit or debit card use]:[Children accessing inappropriate web-sites]])</f>
        <v>5.485555555555556</v>
      </c>
      <c r="M38" s="22">
        <f>Táblázat1[[#This Row],[Experienced no security related problem]]</f>
        <v>62.37</v>
      </c>
      <c r="N38" s="112">
        <f t="shared" si="0"/>
        <v>11.174000000000001</v>
      </c>
      <c r="O38" s="23">
        <f>SUM(Táblázat1[[#This Row],[Fraudulent credit or debit card use]:[Experienced no security related problem]])</f>
        <v>111.74000000000001</v>
      </c>
      <c r="P38" s="23">
        <f>Táblázat1[[#This Row],[positive]]/Táblázat1[[#This Row],[negative]]</f>
        <v>11.369860239011544</v>
      </c>
    </row>
    <row r="39" spans="1:16" ht="15" thickBot="1" x14ac:dyDescent="0.35">
      <c r="A39" s="13" t="s">
        <v>38</v>
      </c>
      <c r="B39" s="1">
        <v>3.28</v>
      </c>
      <c r="C39" s="1">
        <v>0.75</v>
      </c>
      <c r="D39" s="1">
        <v>38.58</v>
      </c>
      <c r="E39" s="1">
        <v>16.170000000000002</v>
      </c>
      <c r="F39" s="4">
        <v>1</v>
      </c>
      <c r="G39" s="4">
        <v>1.8</v>
      </c>
      <c r="H39" s="1">
        <v>2.2799999999999998</v>
      </c>
      <c r="I39" s="1">
        <v>2.66</v>
      </c>
      <c r="J39" s="12" t="s">
        <v>11</v>
      </c>
      <c r="K39" s="1">
        <v>53.19</v>
      </c>
      <c r="L39" s="23">
        <f>AVERAGE(Táblázat1[[#This Row],[Fraudulent credit or debit card use]:[Children accessing inappropriate web-sites]])</f>
        <v>8.3149999999999995</v>
      </c>
      <c r="M39" s="22">
        <f>Táblázat1[[#This Row],[Experienced no security related problem]]</f>
        <v>53.19</v>
      </c>
      <c r="N39" s="112">
        <f t="shared" si="0"/>
        <v>13.30111111111111</v>
      </c>
      <c r="O39" s="23">
        <f>SUM(Táblázat1[[#This Row],[Fraudulent credit or debit card use]:[Experienced no security related problem]])</f>
        <v>119.71</v>
      </c>
      <c r="P39" s="23">
        <f>Táblázat1[[#This Row],[positive]]/Táblázat1[[#This Row],[negative]]</f>
        <v>6.3968731208659051</v>
      </c>
    </row>
    <row r="40" spans="1:16" ht="15" thickBot="1" x14ac:dyDescent="0.35">
      <c r="A40" s="13" t="s">
        <v>41</v>
      </c>
      <c r="B40" s="2">
        <v>4.42</v>
      </c>
      <c r="C40" s="2">
        <v>2.93</v>
      </c>
      <c r="D40" s="2">
        <v>45.54</v>
      </c>
      <c r="E40" s="2">
        <v>18.829999999999998</v>
      </c>
      <c r="F40" s="2">
        <v>3.96</v>
      </c>
      <c r="G40" s="2">
        <v>5.59</v>
      </c>
      <c r="H40" s="2">
        <v>3.85</v>
      </c>
      <c r="I40" s="2">
        <v>1.57</v>
      </c>
      <c r="J40" s="11">
        <v>4.1399999999999997</v>
      </c>
      <c r="K40" s="2">
        <v>41.69</v>
      </c>
      <c r="L40" s="23">
        <f>AVERAGE(Táblázat1[[#This Row],[Fraudulent credit or debit card use]:[Children accessing inappropriate web-sites]])</f>
        <v>10.092222222222221</v>
      </c>
      <c r="M40" s="22">
        <f>Táblázat1[[#This Row],[Experienced no security related problem]]</f>
        <v>41.69</v>
      </c>
      <c r="N40" s="112">
        <f t="shared" si="0"/>
        <v>13.251999999999999</v>
      </c>
      <c r="O40" s="23">
        <f>SUM(Táblázat1[[#This Row],[Fraudulent credit or debit card use]:[Experienced no security related problem]])</f>
        <v>132.51999999999998</v>
      </c>
      <c r="P40" s="23">
        <f>Táblázat1[[#This Row],[positive]]/Táblázat1[[#This Row],[negative]]</f>
        <v>4.1309038863811516</v>
      </c>
    </row>
    <row r="41" spans="1:16" ht="15" thickBot="1" x14ac:dyDescent="0.35">
      <c r="A41" s="13" t="s">
        <v>48</v>
      </c>
      <c r="B41" s="1">
        <v>1.42</v>
      </c>
      <c r="C41" s="1">
        <v>0.53</v>
      </c>
      <c r="D41" s="1">
        <v>10.26</v>
      </c>
      <c r="E41" s="1">
        <v>4.24</v>
      </c>
      <c r="F41" s="1">
        <v>1.07</v>
      </c>
      <c r="G41" s="1">
        <v>1.56</v>
      </c>
      <c r="H41" s="1">
        <v>3.59</v>
      </c>
      <c r="I41" s="1">
        <v>0.45</v>
      </c>
      <c r="J41" s="10">
        <v>3.02</v>
      </c>
      <c r="K41" s="1">
        <v>58.42</v>
      </c>
      <c r="L41" s="23">
        <f>AVERAGE(Táblázat1[[#This Row],[Fraudulent credit or debit card use]:[Children accessing inappropriate web-sites]])</f>
        <v>2.9044444444444442</v>
      </c>
      <c r="M41" s="22">
        <f>Táblázat1[[#This Row],[Experienced no security related problem]]</f>
        <v>58.42</v>
      </c>
      <c r="N41" s="112">
        <f t="shared" si="0"/>
        <v>8.4559999999999995</v>
      </c>
      <c r="O41" s="23">
        <f>SUM(Táblázat1[[#This Row],[Fraudulent credit or debit card use]:[Experienced no security related problem]])</f>
        <v>84.56</v>
      </c>
      <c r="P41" s="23">
        <f>Táblázat1[[#This Row],[positive]]/Táblázat1[[#This Row],[negative]]</f>
        <v>20.114001530221884</v>
      </c>
    </row>
    <row r="42" spans="1:16" ht="15" thickBot="1" x14ac:dyDescent="0.35">
      <c r="A42" s="13" t="s">
        <v>42</v>
      </c>
      <c r="B42" s="1">
        <v>7.31</v>
      </c>
      <c r="C42" s="1">
        <v>2.63</v>
      </c>
      <c r="D42" s="1">
        <v>38.659999999999997</v>
      </c>
      <c r="E42" s="1">
        <v>25.35</v>
      </c>
      <c r="F42" s="1">
        <v>1.95</v>
      </c>
      <c r="G42" s="4">
        <v>3.9</v>
      </c>
      <c r="H42" s="4">
        <v>2</v>
      </c>
      <c r="I42" s="1">
        <v>1.91</v>
      </c>
      <c r="J42" s="12" t="s">
        <v>11</v>
      </c>
      <c r="K42" s="1">
        <v>45.85</v>
      </c>
      <c r="L42" s="23">
        <f>AVERAGE(Táblázat1[[#This Row],[Fraudulent credit or debit card use]:[Children accessing inappropriate web-sites]])</f>
        <v>10.463749999999999</v>
      </c>
      <c r="M42" s="22">
        <f>Táblázat1[[#This Row],[Experienced no security related problem]]</f>
        <v>45.85</v>
      </c>
      <c r="N42" s="112">
        <f t="shared" si="0"/>
        <v>14.395555555555555</v>
      </c>
      <c r="O42" s="23">
        <f>SUM(Táblázat1[[#This Row],[Fraudulent credit or debit card use]:[Experienced no security related problem]])</f>
        <v>129.56</v>
      </c>
      <c r="P42" s="23">
        <f>Táblázat1[[#This Row],[positive]]/Táblázat1[[#This Row],[negative]]</f>
        <v>4.3817942898100588</v>
      </c>
    </row>
  </sheetData>
  <conditionalFormatting sqref="B4:B104857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4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I4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C104857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C4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104857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:D4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4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104857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104857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:F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:G104857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:H104857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4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:I104857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I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:J104857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:J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104857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:K4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:N1048576 O3:P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:N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5:P4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zoomScale="68" zoomScaleNormal="85" workbookViewId="0"/>
  </sheetViews>
  <sheetFormatPr defaultRowHeight="14.4" x14ac:dyDescent="0.3"/>
  <cols>
    <col min="1" max="1" width="40.77734375" style="24" customWidth="1"/>
    <col min="2" max="2" width="6.77734375" style="5" customWidth="1"/>
    <col min="3" max="3" width="24.21875" style="17" customWidth="1"/>
    <col min="4" max="4" width="9.109375" style="5" customWidth="1"/>
    <col min="5" max="5" width="15.109375" style="5" customWidth="1"/>
    <col min="6" max="6" width="22.44140625" style="17" customWidth="1"/>
    <col min="7" max="7" width="17.6640625" style="5" customWidth="1"/>
    <col min="8" max="8" width="21.88671875" style="5" customWidth="1"/>
    <col min="9" max="9" width="20.44140625" style="5" customWidth="1"/>
    <col min="10" max="10" width="22.33203125" style="5" customWidth="1"/>
    <col min="11" max="11" width="9.44140625" style="17" customWidth="1"/>
    <col min="13" max="13" width="5.5546875" style="23" bestFit="1" customWidth="1"/>
    <col min="14" max="14" width="10.33203125" style="5" customWidth="1"/>
    <col min="15" max="15" width="18.109375" customWidth="1"/>
    <col min="16" max="16" width="14.33203125" customWidth="1"/>
  </cols>
  <sheetData>
    <row r="1" spans="1:16" x14ac:dyDescent="0.3">
      <c r="B1" s="5" t="s">
        <v>60</v>
      </c>
      <c r="C1" s="17" t="s">
        <v>60</v>
      </c>
      <c r="D1" s="5" t="s">
        <v>60</v>
      </c>
      <c r="E1" s="5" t="s">
        <v>60</v>
      </c>
      <c r="F1" s="17" t="s">
        <v>60</v>
      </c>
      <c r="G1" s="5" t="s">
        <v>60</v>
      </c>
      <c r="H1" s="5" t="s">
        <v>60</v>
      </c>
      <c r="I1" s="5" t="s">
        <v>60</v>
      </c>
      <c r="J1" s="5" t="s">
        <v>60</v>
      </c>
      <c r="K1" s="17" t="s">
        <v>60</v>
      </c>
    </row>
    <row r="2" spans="1:16" s="30" customFormat="1" ht="175.8" customHeight="1" x14ac:dyDescent="0.3">
      <c r="A2" s="31"/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64</v>
      </c>
      <c r="K2" s="30" t="s">
        <v>9</v>
      </c>
      <c r="M2" s="32" t="s">
        <v>87</v>
      </c>
      <c r="N2" s="30" t="s">
        <v>95</v>
      </c>
      <c r="O2" s="30" t="s">
        <v>89</v>
      </c>
      <c r="P2" s="30" t="s">
        <v>101</v>
      </c>
    </row>
    <row r="3" spans="1:16" x14ac:dyDescent="0.3">
      <c r="A3" s="25" t="s">
        <v>65</v>
      </c>
      <c r="B3" s="26">
        <v>2.2200000000000002</v>
      </c>
      <c r="C3" s="27">
        <v>0.97</v>
      </c>
      <c r="D3" s="26">
        <v>22.66</v>
      </c>
      <c r="E3" s="26">
        <v>17.53</v>
      </c>
      <c r="F3" s="27">
        <v>1.66</v>
      </c>
      <c r="G3" s="26">
        <v>2.67</v>
      </c>
      <c r="H3" s="26">
        <v>4.0599999999999996</v>
      </c>
      <c r="I3" s="26">
        <v>1.7</v>
      </c>
      <c r="J3" s="26">
        <v>34.85</v>
      </c>
      <c r="K3" s="27">
        <v>65.33</v>
      </c>
      <c r="M3" s="23">
        <f>AVERAGE(B3:J3)</f>
        <v>9.8133333333333344</v>
      </c>
      <c r="N3" s="108" t="s">
        <v>88</v>
      </c>
      <c r="O3" s="109">
        <f>M3+M4</f>
        <v>18.914444444444445</v>
      </c>
      <c r="P3" s="109">
        <f>O3/2</f>
        <v>9.4572222222222226</v>
      </c>
    </row>
    <row r="4" spans="1:16" x14ac:dyDescent="0.3">
      <c r="A4" s="25" t="s">
        <v>66</v>
      </c>
      <c r="B4" s="26">
        <v>1.93</v>
      </c>
      <c r="C4" s="27">
        <v>1.03</v>
      </c>
      <c r="D4" s="26">
        <v>20.66</v>
      </c>
      <c r="E4" s="26">
        <v>15.14</v>
      </c>
      <c r="F4" s="27">
        <v>1.64</v>
      </c>
      <c r="G4" s="26">
        <v>3.05</v>
      </c>
      <c r="H4" s="26">
        <v>4.9000000000000004</v>
      </c>
      <c r="I4" s="26">
        <v>1.29</v>
      </c>
      <c r="J4" s="26">
        <v>32.270000000000003</v>
      </c>
      <c r="K4" s="27">
        <v>67.98</v>
      </c>
      <c r="M4" s="23">
        <f t="shared" ref="M4:M26" si="0">AVERAGE(B4:J4)</f>
        <v>9.1011111111111109</v>
      </c>
      <c r="N4" s="108"/>
      <c r="O4" s="109"/>
      <c r="P4" s="109"/>
    </row>
    <row r="5" spans="1:16" x14ac:dyDescent="0.3">
      <c r="A5" s="25" t="s">
        <v>67</v>
      </c>
      <c r="B5" s="26">
        <v>2.37</v>
      </c>
      <c r="C5" s="27">
        <v>1.29</v>
      </c>
      <c r="D5" s="26">
        <v>32.799999999999997</v>
      </c>
      <c r="E5" s="26">
        <v>17.260000000000002</v>
      </c>
      <c r="F5" s="27">
        <v>1.86</v>
      </c>
      <c r="G5" s="26">
        <v>3.13</v>
      </c>
      <c r="H5" s="26">
        <v>4.3899999999999997</v>
      </c>
      <c r="I5" s="26">
        <v>1.53</v>
      </c>
      <c r="J5" s="26">
        <v>41.43</v>
      </c>
      <c r="K5" s="27">
        <v>57.76</v>
      </c>
      <c r="M5" s="23">
        <f t="shared" si="0"/>
        <v>11.784444444444444</v>
      </c>
      <c r="N5" s="107" t="s">
        <v>90</v>
      </c>
      <c r="O5" s="106">
        <f>M5+M6</f>
        <v>22.503333333333334</v>
      </c>
      <c r="P5" s="106">
        <f>O5/2</f>
        <v>11.251666666666667</v>
      </c>
    </row>
    <row r="6" spans="1:16" x14ac:dyDescent="0.3">
      <c r="A6" s="25" t="s">
        <v>68</v>
      </c>
      <c r="B6" s="26">
        <v>2.54</v>
      </c>
      <c r="C6" s="27">
        <v>1.17</v>
      </c>
      <c r="D6" s="26">
        <v>29.82</v>
      </c>
      <c r="E6" s="26">
        <v>14.35</v>
      </c>
      <c r="F6" s="27">
        <v>1.47</v>
      </c>
      <c r="G6" s="26">
        <v>2.99</v>
      </c>
      <c r="H6" s="26">
        <v>3.61</v>
      </c>
      <c r="I6" s="26">
        <v>1.51</v>
      </c>
      <c r="J6" s="26">
        <v>39.01</v>
      </c>
      <c r="K6" s="27">
        <v>59.53</v>
      </c>
      <c r="M6" s="23">
        <f t="shared" si="0"/>
        <v>10.718888888888889</v>
      </c>
      <c r="N6" s="107"/>
      <c r="O6" s="106"/>
      <c r="P6" s="106"/>
    </row>
    <row r="7" spans="1:16" x14ac:dyDescent="0.3">
      <c r="A7" s="25" t="s">
        <v>69</v>
      </c>
      <c r="B7" s="26">
        <v>3</v>
      </c>
      <c r="C7" s="27">
        <v>1.08</v>
      </c>
      <c r="D7" s="26">
        <v>31.12</v>
      </c>
      <c r="E7" s="26">
        <v>15.18</v>
      </c>
      <c r="F7" s="27">
        <v>1.92</v>
      </c>
      <c r="G7" s="26">
        <v>2.5499999999999998</v>
      </c>
      <c r="H7" s="26">
        <v>4.16</v>
      </c>
      <c r="I7" s="26">
        <v>1.49</v>
      </c>
      <c r="J7" s="26">
        <v>39.54</v>
      </c>
      <c r="K7" s="27">
        <v>57.5</v>
      </c>
      <c r="M7" s="23">
        <f t="shared" si="0"/>
        <v>11.115555555555556</v>
      </c>
      <c r="N7" s="107" t="s">
        <v>91</v>
      </c>
      <c r="O7" s="106">
        <f>M7+M8</f>
        <v>20.705555555555556</v>
      </c>
      <c r="P7" s="106">
        <f>O7/2</f>
        <v>10.352777777777778</v>
      </c>
    </row>
    <row r="8" spans="1:16" x14ac:dyDescent="0.3">
      <c r="A8" s="25" t="s">
        <v>70</v>
      </c>
      <c r="B8" s="26">
        <v>2.42</v>
      </c>
      <c r="C8" s="27">
        <v>0.83</v>
      </c>
      <c r="D8" s="26">
        <v>26.45</v>
      </c>
      <c r="E8" s="26">
        <v>12.25</v>
      </c>
      <c r="F8" s="27">
        <v>1.44</v>
      </c>
      <c r="G8" s="26">
        <v>2.44</v>
      </c>
      <c r="H8" s="26">
        <v>3.8</v>
      </c>
      <c r="I8" s="26">
        <v>1.5</v>
      </c>
      <c r="J8" s="26">
        <v>35.18</v>
      </c>
      <c r="K8" s="27">
        <v>61.73</v>
      </c>
      <c r="M8" s="23">
        <f t="shared" si="0"/>
        <v>9.59</v>
      </c>
      <c r="N8" s="107"/>
      <c r="O8" s="107"/>
      <c r="P8" s="106"/>
    </row>
    <row r="9" spans="1:16" x14ac:dyDescent="0.3">
      <c r="A9" s="25" t="s">
        <v>71</v>
      </c>
      <c r="B9" s="26">
        <v>2.81</v>
      </c>
      <c r="C9" s="27">
        <v>0.96</v>
      </c>
      <c r="D9" s="26">
        <v>29.67</v>
      </c>
      <c r="E9" s="26">
        <v>12.94</v>
      </c>
      <c r="F9" s="27">
        <v>1.42</v>
      </c>
      <c r="G9" s="26">
        <v>2.2000000000000002</v>
      </c>
      <c r="H9" s="26">
        <v>3.77</v>
      </c>
      <c r="I9" s="26">
        <v>1.35</v>
      </c>
      <c r="J9" s="26">
        <v>36.840000000000003</v>
      </c>
      <c r="K9" s="27">
        <v>55.15</v>
      </c>
      <c r="M9" s="23">
        <f t="shared" si="0"/>
        <v>10.217777777777778</v>
      </c>
      <c r="N9" s="107" t="s">
        <v>92</v>
      </c>
      <c r="O9" s="106">
        <f>M9+M10</f>
        <v>18.955555555555556</v>
      </c>
      <c r="P9" s="106">
        <f>O9/2</f>
        <v>9.4777777777777779</v>
      </c>
    </row>
    <row r="10" spans="1:16" x14ac:dyDescent="0.3">
      <c r="A10" s="25" t="s">
        <v>72</v>
      </c>
      <c r="B10" s="26">
        <v>2.57</v>
      </c>
      <c r="C10" s="27">
        <v>0.88</v>
      </c>
      <c r="D10" s="26">
        <v>24.92</v>
      </c>
      <c r="E10" s="26">
        <v>10.130000000000001</v>
      </c>
      <c r="F10" s="27">
        <v>1.31</v>
      </c>
      <c r="G10" s="26">
        <v>2.2599999999999998</v>
      </c>
      <c r="H10" s="26">
        <v>3.33</v>
      </c>
      <c r="I10" s="26">
        <v>1.38</v>
      </c>
      <c r="J10" s="26">
        <v>31.86</v>
      </c>
      <c r="K10" s="27">
        <v>61.44</v>
      </c>
      <c r="M10" s="23">
        <f t="shared" si="0"/>
        <v>8.7377777777777776</v>
      </c>
      <c r="N10" s="107"/>
      <c r="O10" s="107"/>
      <c r="P10" s="106"/>
    </row>
    <row r="11" spans="1:16" x14ac:dyDescent="0.3">
      <c r="A11" s="25" t="s">
        <v>73</v>
      </c>
      <c r="B11" s="26">
        <v>2.14</v>
      </c>
      <c r="C11" s="27">
        <v>0.84</v>
      </c>
      <c r="D11" s="26">
        <v>24.8</v>
      </c>
      <c r="E11" s="26">
        <v>9.6</v>
      </c>
      <c r="F11" s="27">
        <v>1.3</v>
      </c>
      <c r="G11" s="26">
        <v>1.85</v>
      </c>
      <c r="H11" s="26">
        <v>2.61</v>
      </c>
      <c r="I11" s="26">
        <v>1.1000000000000001</v>
      </c>
      <c r="J11" s="26">
        <v>29.92</v>
      </c>
      <c r="K11" s="27">
        <v>52.64</v>
      </c>
      <c r="M11" s="23">
        <f t="shared" si="0"/>
        <v>8.24</v>
      </c>
      <c r="N11" s="107" t="s">
        <v>93</v>
      </c>
      <c r="O11" s="106">
        <f>M11+M12</f>
        <v>14.418888888888889</v>
      </c>
      <c r="P11" s="106">
        <f>O11/2</f>
        <v>7.2094444444444443</v>
      </c>
    </row>
    <row r="12" spans="1:16" x14ac:dyDescent="0.3">
      <c r="A12" s="25" t="s">
        <v>74</v>
      </c>
      <c r="B12" s="26">
        <v>1.49</v>
      </c>
      <c r="C12" s="27">
        <v>0.68</v>
      </c>
      <c r="D12" s="26">
        <v>18.11</v>
      </c>
      <c r="E12" s="26">
        <v>6.14</v>
      </c>
      <c r="F12" s="27">
        <v>0.95</v>
      </c>
      <c r="G12" s="26">
        <v>1.65</v>
      </c>
      <c r="H12" s="26">
        <v>2.37</v>
      </c>
      <c r="I12" s="26">
        <v>0.93</v>
      </c>
      <c r="J12" s="26">
        <v>23.29</v>
      </c>
      <c r="K12" s="27">
        <v>58.26</v>
      </c>
      <c r="M12" s="23">
        <f t="shared" si="0"/>
        <v>6.1788888888888884</v>
      </c>
      <c r="N12" s="107"/>
      <c r="O12" s="107"/>
      <c r="P12" s="106"/>
    </row>
    <row r="13" spans="1:16" x14ac:dyDescent="0.3">
      <c r="A13" s="25" t="s">
        <v>75</v>
      </c>
      <c r="B13" s="26">
        <v>1.7</v>
      </c>
      <c r="C13" s="27">
        <v>0.65</v>
      </c>
      <c r="D13" s="26">
        <v>18.46</v>
      </c>
      <c r="E13" s="26">
        <v>6.85</v>
      </c>
      <c r="F13" s="27">
        <v>1.31</v>
      </c>
      <c r="G13" s="26">
        <v>1.33</v>
      </c>
      <c r="H13" s="26">
        <v>2.21</v>
      </c>
      <c r="I13" s="26">
        <v>0.77</v>
      </c>
      <c r="J13" s="26">
        <v>22.48</v>
      </c>
      <c r="K13" s="27">
        <v>42.05</v>
      </c>
      <c r="M13" s="23">
        <f t="shared" si="0"/>
        <v>6.1955555555555559</v>
      </c>
      <c r="N13" s="107" t="s">
        <v>94</v>
      </c>
      <c r="O13" s="106">
        <f>M13+M14</f>
        <v>10.280000000000001</v>
      </c>
      <c r="P13" s="106">
        <f>O13/2</f>
        <v>5.1400000000000006</v>
      </c>
    </row>
    <row r="14" spans="1:16" x14ac:dyDescent="0.3">
      <c r="A14" s="25" t="s">
        <v>76</v>
      </c>
      <c r="B14" s="26">
        <v>1.01</v>
      </c>
      <c r="C14" s="27">
        <v>0.45</v>
      </c>
      <c r="D14" s="26">
        <v>12.29</v>
      </c>
      <c r="E14" s="26">
        <v>3.96</v>
      </c>
      <c r="F14" s="27">
        <v>0.81</v>
      </c>
      <c r="G14" s="26">
        <v>0.89</v>
      </c>
      <c r="H14" s="26">
        <v>1.44</v>
      </c>
      <c r="I14" s="26">
        <v>0.6</v>
      </c>
      <c r="J14" s="26">
        <v>15.31</v>
      </c>
      <c r="K14" s="27">
        <v>42.69</v>
      </c>
      <c r="M14" s="23">
        <f t="shared" si="0"/>
        <v>4.0844444444444452</v>
      </c>
      <c r="N14" s="107"/>
      <c r="O14" s="107"/>
      <c r="P14" s="106"/>
    </row>
    <row r="15" spans="1:16" x14ac:dyDescent="0.3">
      <c r="B15" s="28"/>
      <c r="C15" s="29"/>
      <c r="D15" s="28"/>
      <c r="E15" s="28"/>
      <c r="F15" s="29"/>
      <c r="G15" s="28"/>
      <c r="H15" s="28"/>
      <c r="I15" s="28"/>
      <c r="J15" s="28"/>
      <c r="K15" s="29"/>
      <c r="P15" s="23"/>
    </row>
    <row r="16" spans="1:16" x14ac:dyDescent="0.3">
      <c r="A16" s="25" t="s">
        <v>83</v>
      </c>
      <c r="B16" s="26">
        <v>2.12</v>
      </c>
      <c r="C16" s="27">
        <v>1.69</v>
      </c>
      <c r="D16" s="26">
        <v>48.36</v>
      </c>
      <c r="E16" s="26">
        <v>20.85</v>
      </c>
      <c r="F16" s="27">
        <v>2.95</v>
      </c>
      <c r="G16" s="26">
        <v>3.48</v>
      </c>
      <c r="H16" s="26">
        <v>14.85</v>
      </c>
      <c r="I16" s="26">
        <v>4.75</v>
      </c>
      <c r="J16" s="26">
        <v>70.8</v>
      </c>
      <c r="K16" s="27">
        <v>39.85</v>
      </c>
      <c r="M16" s="34">
        <f t="shared" si="0"/>
        <v>18.872222222222224</v>
      </c>
      <c r="N16" s="35"/>
      <c r="O16" s="35"/>
      <c r="P16" s="34">
        <f t="shared" ref="P16:P19" si="1">AVERAGE(E16:M16)</f>
        <v>22.050277777777779</v>
      </c>
    </row>
    <row r="17" spans="1:16" x14ac:dyDescent="0.3">
      <c r="A17" s="25" t="s">
        <v>84</v>
      </c>
      <c r="B17" s="26">
        <v>2.63</v>
      </c>
      <c r="C17" s="27">
        <v>1.04</v>
      </c>
      <c r="D17" s="26">
        <v>29.52</v>
      </c>
      <c r="E17" s="26">
        <v>13.2</v>
      </c>
      <c r="F17" s="27">
        <v>1.55</v>
      </c>
      <c r="G17" s="26">
        <v>2.4900000000000002</v>
      </c>
      <c r="H17" s="26">
        <v>3.56</v>
      </c>
      <c r="I17" s="26">
        <v>1.44</v>
      </c>
      <c r="J17" s="26">
        <v>37.36</v>
      </c>
      <c r="K17" s="27">
        <v>59.36</v>
      </c>
      <c r="M17" s="34">
        <f t="shared" si="0"/>
        <v>10.309999999999999</v>
      </c>
      <c r="N17" s="35"/>
      <c r="O17" s="35"/>
      <c r="P17" s="34">
        <f t="shared" si="1"/>
        <v>16.158750000000001</v>
      </c>
    </row>
    <row r="18" spans="1:16" x14ac:dyDescent="0.3">
      <c r="A18" s="25" t="s">
        <v>85</v>
      </c>
      <c r="B18" s="26">
        <v>1.78</v>
      </c>
      <c r="C18" s="27">
        <v>0.98</v>
      </c>
      <c r="D18" s="26">
        <v>23.68</v>
      </c>
      <c r="E18" s="26">
        <v>18.16</v>
      </c>
      <c r="F18" s="27">
        <v>1.5</v>
      </c>
      <c r="G18" s="26">
        <v>2.79</v>
      </c>
      <c r="H18" s="26">
        <v>4.63</v>
      </c>
      <c r="I18" s="26">
        <v>1.47</v>
      </c>
      <c r="J18" s="26">
        <v>35.799999999999997</v>
      </c>
      <c r="K18" s="27">
        <v>64.89</v>
      </c>
      <c r="M18" s="34">
        <f t="shared" si="0"/>
        <v>10.087777777777777</v>
      </c>
      <c r="N18" s="35"/>
      <c r="O18" s="35"/>
      <c r="P18" s="34">
        <f t="shared" si="1"/>
        <v>17.415972222222223</v>
      </c>
    </row>
    <row r="19" spans="1:16" x14ac:dyDescent="0.3">
      <c r="A19" s="25" t="s">
        <v>86</v>
      </c>
      <c r="B19" s="26">
        <v>2.12</v>
      </c>
      <c r="C19" s="27">
        <v>0.91</v>
      </c>
      <c r="D19" s="26">
        <v>17.78</v>
      </c>
      <c r="E19" s="26">
        <v>11.61</v>
      </c>
      <c r="F19" s="27">
        <v>1.21</v>
      </c>
      <c r="G19" s="26">
        <v>2.41</v>
      </c>
      <c r="H19" s="26">
        <v>3.61</v>
      </c>
      <c r="I19" s="26">
        <v>1.2</v>
      </c>
      <c r="J19" s="26">
        <v>25.53</v>
      </c>
      <c r="K19" s="27">
        <v>58.69</v>
      </c>
      <c r="M19" s="34">
        <f t="shared" si="0"/>
        <v>7.3755555555555565</v>
      </c>
      <c r="N19" s="35"/>
      <c r="O19" s="35"/>
      <c r="P19" s="34">
        <f t="shared" si="1"/>
        <v>13.954444444444443</v>
      </c>
    </row>
    <row r="20" spans="1:16" x14ac:dyDescent="0.3">
      <c r="B20" s="28"/>
      <c r="C20" s="29"/>
      <c r="D20" s="28"/>
      <c r="E20" s="28"/>
      <c r="F20" s="29"/>
      <c r="G20" s="28"/>
      <c r="H20" s="28"/>
      <c r="I20" s="28"/>
      <c r="J20" s="28"/>
      <c r="K20" s="29"/>
      <c r="P20" s="23"/>
    </row>
    <row r="21" spans="1:16" x14ac:dyDescent="0.3">
      <c r="A21" s="25" t="s">
        <v>77</v>
      </c>
      <c r="B21" s="26">
        <v>1.86</v>
      </c>
      <c r="C21" s="27">
        <v>0.82</v>
      </c>
      <c r="D21" s="26">
        <v>14.29</v>
      </c>
      <c r="E21" s="26">
        <v>9.92</v>
      </c>
      <c r="F21" s="27">
        <v>1.1399999999999999</v>
      </c>
      <c r="G21" s="26">
        <v>1.74</v>
      </c>
      <c r="H21" s="26">
        <v>2.68</v>
      </c>
      <c r="I21" s="26">
        <v>0.91</v>
      </c>
      <c r="J21" s="26">
        <v>21.12</v>
      </c>
      <c r="K21" s="27">
        <v>56.18</v>
      </c>
      <c r="M21" s="33">
        <f t="shared" si="0"/>
        <v>6.0533333333333337</v>
      </c>
      <c r="N21" s="107" t="s">
        <v>96</v>
      </c>
      <c r="O21" s="106">
        <f>M21+M22</f>
        <v>10.617777777777778</v>
      </c>
      <c r="P21" s="106">
        <f>O21/2</f>
        <v>5.3088888888888892</v>
      </c>
    </row>
    <row r="22" spans="1:16" x14ac:dyDescent="0.3">
      <c r="A22" s="25" t="s">
        <v>78</v>
      </c>
      <c r="B22" s="26">
        <v>1.22</v>
      </c>
      <c r="C22" s="27">
        <v>0.5</v>
      </c>
      <c r="D22" s="26">
        <v>10.78</v>
      </c>
      <c r="E22" s="26">
        <v>6.38</v>
      </c>
      <c r="F22" s="27">
        <v>1</v>
      </c>
      <c r="G22" s="26">
        <v>1.52</v>
      </c>
      <c r="H22" s="26">
        <v>2.41</v>
      </c>
      <c r="I22" s="26">
        <v>0.82</v>
      </c>
      <c r="J22" s="26">
        <v>16.45</v>
      </c>
      <c r="K22" s="27">
        <v>54.59</v>
      </c>
      <c r="M22" s="33">
        <f t="shared" si="0"/>
        <v>4.5644444444444439</v>
      </c>
      <c r="N22" s="107"/>
      <c r="O22" s="107"/>
      <c r="P22" s="106"/>
    </row>
    <row r="23" spans="1:16" x14ac:dyDescent="0.3">
      <c r="A23" s="25" t="s">
        <v>79</v>
      </c>
      <c r="B23" s="26">
        <v>2.0699999999999998</v>
      </c>
      <c r="C23" s="27">
        <v>0.91</v>
      </c>
      <c r="D23" s="26">
        <v>25.82</v>
      </c>
      <c r="E23" s="26">
        <v>12.01</v>
      </c>
      <c r="F23" s="27">
        <v>1.52</v>
      </c>
      <c r="G23" s="26">
        <v>2.21</v>
      </c>
      <c r="H23" s="26">
        <v>4.26</v>
      </c>
      <c r="I23" s="26">
        <v>1.38</v>
      </c>
      <c r="J23" s="26">
        <v>33.96</v>
      </c>
      <c r="K23" s="27">
        <v>58.09</v>
      </c>
      <c r="M23" s="33">
        <f t="shared" si="0"/>
        <v>9.3488888888888901</v>
      </c>
      <c r="N23" s="107" t="s">
        <v>97</v>
      </c>
      <c r="O23" s="106">
        <f>M23+M24</f>
        <v>17.490000000000002</v>
      </c>
      <c r="P23" s="106">
        <f>O23/2</f>
        <v>8.745000000000001</v>
      </c>
    </row>
    <row r="24" spans="1:16" x14ac:dyDescent="0.3">
      <c r="A24" s="25" t="s">
        <v>80</v>
      </c>
      <c r="B24" s="26">
        <v>1.82</v>
      </c>
      <c r="C24" s="27">
        <v>0.89</v>
      </c>
      <c r="D24" s="26">
        <v>22.34</v>
      </c>
      <c r="E24" s="26">
        <v>9.5500000000000007</v>
      </c>
      <c r="F24" s="27">
        <v>1.18</v>
      </c>
      <c r="G24" s="26">
        <v>2.19</v>
      </c>
      <c r="H24" s="26">
        <v>3.7</v>
      </c>
      <c r="I24" s="26">
        <v>1.29</v>
      </c>
      <c r="J24" s="26">
        <v>30.31</v>
      </c>
      <c r="K24" s="27">
        <v>61.62</v>
      </c>
      <c r="M24" s="33">
        <f t="shared" si="0"/>
        <v>8.1411111111111101</v>
      </c>
      <c r="N24" s="107"/>
      <c r="O24" s="107"/>
      <c r="P24" s="106"/>
    </row>
    <row r="25" spans="1:16" x14ac:dyDescent="0.3">
      <c r="A25" s="25" t="s">
        <v>81</v>
      </c>
      <c r="B25" s="26">
        <v>3.64</v>
      </c>
      <c r="C25" s="27">
        <v>1.2</v>
      </c>
      <c r="D25" s="26">
        <v>42.91</v>
      </c>
      <c r="E25" s="26">
        <v>19.170000000000002</v>
      </c>
      <c r="F25" s="27">
        <v>2.13</v>
      </c>
      <c r="G25" s="26">
        <v>2.97</v>
      </c>
      <c r="H25" s="26">
        <v>3.13</v>
      </c>
      <c r="I25" s="26">
        <v>1.64</v>
      </c>
      <c r="J25" s="26">
        <v>50.01</v>
      </c>
      <c r="K25" s="27">
        <v>48.63</v>
      </c>
      <c r="M25" s="33">
        <f t="shared" si="0"/>
        <v>14.088888888888887</v>
      </c>
      <c r="N25" s="107" t="s">
        <v>98</v>
      </c>
      <c r="O25" s="106">
        <f>M25+M26</f>
        <v>25.447777777777773</v>
      </c>
      <c r="P25" s="106">
        <f>O25/2</f>
        <v>12.723888888888887</v>
      </c>
    </row>
    <row r="26" spans="1:16" x14ac:dyDescent="0.3">
      <c r="A26" s="25" t="s">
        <v>82</v>
      </c>
      <c r="B26" s="26">
        <v>3.08</v>
      </c>
      <c r="C26" s="27">
        <v>1.07</v>
      </c>
      <c r="D26" s="26">
        <v>33.369999999999997</v>
      </c>
      <c r="E26" s="26">
        <v>14.77</v>
      </c>
      <c r="F26" s="27">
        <v>1.64</v>
      </c>
      <c r="G26" s="26">
        <v>2.81</v>
      </c>
      <c r="H26" s="26">
        <v>3.08</v>
      </c>
      <c r="I26" s="26">
        <v>1.41</v>
      </c>
      <c r="J26" s="26">
        <v>41</v>
      </c>
      <c r="K26" s="27">
        <v>57.32</v>
      </c>
      <c r="M26" s="33">
        <f t="shared" si="0"/>
        <v>11.358888888888888</v>
      </c>
      <c r="N26" s="107"/>
      <c r="O26" s="107"/>
      <c r="P26" s="106"/>
    </row>
  </sheetData>
  <mergeCells count="27">
    <mergeCell ref="N3:N4"/>
    <mergeCell ref="O3:O4"/>
    <mergeCell ref="P3:P4"/>
    <mergeCell ref="N5:N6"/>
    <mergeCell ref="O5:O6"/>
    <mergeCell ref="P5:P6"/>
    <mergeCell ref="P7:P8"/>
    <mergeCell ref="O7:O8"/>
    <mergeCell ref="N7:N8"/>
    <mergeCell ref="N9:N10"/>
    <mergeCell ref="N11:N12"/>
    <mergeCell ref="O9:O10"/>
    <mergeCell ref="O11:O12"/>
    <mergeCell ref="P9:P10"/>
    <mergeCell ref="P25:P26"/>
    <mergeCell ref="P11:P12"/>
    <mergeCell ref="P13:P14"/>
    <mergeCell ref="N21:N22"/>
    <mergeCell ref="N23:N24"/>
    <mergeCell ref="N25:N26"/>
    <mergeCell ref="O21:O22"/>
    <mergeCell ref="P21:P22"/>
    <mergeCell ref="O23:O24"/>
    <mergeCell ref="O25:O26"/>
    <mergeCell ref="P23:P24"/>
    <mergeCell ref="N13:N14"/>
    <mergeCell ref="O13:O14"/>
  </mergeCells>
  <conditionalFormatting sqref="B2:B104857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104857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:D104857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104857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104857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:G104857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104857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104857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104857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:M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15 P20:P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6:P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44"/>
  <sheetViews>
    <sheetView zoomScale="38" zoomScaleNormal="70" workbookViewId="0"/>
  </sheetViews>
  <sheetFormatPr defaultRowHeight="14.4" x14ac:dyDescent="0.3"/>
  <cols>
    <col min="1" max="1" width="40.44140625" customWidth="1"/>
    <col min="2" max="2" width="13.33203125" style="19" bestFit="1" customWidth="1"/>
    <col min="3" max="13" width="9.109375" customWidth="1"/>
    <col min="14" max="14" width="8.88671875" style="23"/>
    <col min="15" max="15" width="8.88671875" style="59"/>
    <col min="16" max="16" width="20.44140625" style="56" bestFit="1" customWidth="1"/>
    <col min="17" max="28" width="17" style="5" customWidth="1"/>
    <col min="29" max="29" width="22.5546875" style="56" customWidth="1"/>
    <col min="32" max="32" width="10.5546875" bestFit="1" customWidth="1"/>
  </cols>
  <sheetData>
    <row r="1" spans="1:43" s="30" customFormat="1" ht="47.4" customHeight="1" thickBot="1" x14ac:dyDescent="0.35">
      <c r="B1" s="30" t="s">
        <v>60</v>
      </c>
      <c r="C1" s="30" t="s">
        <v>60</v>
      </c>
      <c r="D1" s="30" t="s">
        <v>60</v>
      </c>
      <c r="E1" s="30" t="s">
        <v>60</v>
      </c>
      <c r="F1" s="30" t="s">
        <v>60</v>
      </c>
      <c r="G1" s="30" t="s">
        <v>60</v>
      </c>
      <c r="H1" s="30" t="s">
        <v>60</v>
      </c>
      <c r="I1" s="30" t="s">
        <v>60</v>
      </c>
      <c r="J1" s="30" t="s">
        <v>60</v>
      </c>
      <c r="K1" s="30" t="s">
        <v>60</v>
      </c>
      <c r="L1" s="30" t="s">
        <v>60</v>
      </c>
      <c r="M1" s="30" t="s">
        <v>60</v>
      </c>
      <c r="P1" s="30" t="s">
        <v>105</v>
      </c>
      <c r="Q1" s="30" t="s">
        <v>105</v>
      </c>
      <c r="R1" s="30" t="s">
        <v>105</v>
      </c>
      <c r="S1" s="30" t="s">
        <v>105</v>
      </c>
      <c r="T1" s="30" t="s">
        <v>105</v>
      </c>
      <c r="U1" s="30" t="s">
        <v>105</v>
      </c>
      <c r="V1" s="30" t="s">
        <v>105</v>
      </c>
      <c r="W1" s="30" t="s">
        <v>105</v>
      </c>
      <c r="X1" s="30" t="s">
        <v>105</v>
      </c>
      <c r="Y1" s="30" t="s">
        <v>105</v>
      </c>
      <c r="Z1" s="30" t="s">
        <v>105</v>
      </c>
      <c r="AA1" s="30" t="s">
        <v>105</v>
      </c>
      <c r="AB1" s="30" t="s">
        <v>105</v>
      </c>
      <c r="AC1" s="94" t="s">
        <v>112</v>
      </c>
      <c r="AD1" s="30" t="s">
        <v>108</v>
      </c>
      <c r="AE1" s="30" t="s">
        <v>108</v>
      </c>
      <c r="AF1" s="30" t="s">
        <v>108</v>
      </c>
      <c r="AG1" s="30" t="s">
        <v>108</v>
      </c>
      <c r="AH1" s="30" t="s">
        <v>108</v>
      </c>
      <c r="AI1" s="30" t="s">
        <v>108</v>
      </c>
      <c r="AJ1" s="30" t="s">
        <v>108</v>
      </c>
      <c r="AK1" s="30" t="s">
        <v>108</v>
      </c>
      <c r="AL1" s="30" t="s">
        <v>108</v>
      </c>
      <c r="AM1" s="30" t="s">
        <v>108</v>
      </c>
      <c r="AN1" s="30" t="s">
        <v>108</v>
      </c>
      <c r="AO1" s="30" t="s">
        <v>108</v>
      </c>
      <c r="AQ1" s="30" t="s">
        <v>113</v>
      </c>
    </row>
    <row r="2" spans="1:43" ht="37.200000000000003" thickTop="1" thickBot="1" x14ac:dyDescent="0.35">
      <c r="A2" s="51" t="s">
        <v>100</v>
      </c>
      <c r="B2" s="43" t="s">
        <v>65</v>
      </c>
      <c r="C2" s="43" t="s">
        <v>66</v>
      </c>
      <c r="D2" s="43" t="s">
        <v>67</v>
      </c>
      <c r="E2" s="43" t="s">
        <v>68</v>
      </c>
      <c r="F2" s="43" t="s">
        <v>69</v>
      </c>
      <c r="G2" s="43" t="s">
        <v>70</v>
      </c>
      <c r="H2" s="43" t="s">
        <v>71</v>
      </c>
      <c r="I2" s="43" t="s">
        <v>72</v>
      </c>
      <c r="J2" s="43" t="s">
        <v>73</v>
      </c>
      <c r="K2" s="43" t="s">
        <v>74</v>
      </c>
      <c r="L2" s="43" t="s">
        <v>75</v>
      </c>
      <c r="M2" s="43" t="s">
        <v>76</v>
      </c>
      <c r="N2" s="55" t="s">
        <v>102</v>
      </c>
      <c r="O2" s="57"/>
      <c r="P2" s="61" t="s">
        <v>104</v>
      </c>
      <c r="Q2" s="63" t="s">
        <v>65</v>
      </c>
      <c r="R2" s="63" t="s">
        <v>66</v>
      </c>
      <c r="S2" s="63" t="s">
        <v>67</v>
      </c>
      <c r="T2" s="63" t="s">
        <v>68</v>
      </c>
      <c r="U2" s="63" t="s">
        <v>69</v>
      </c>
      <c r="V2" s="63" t="s">
        <v>70</v>
      </c>
      <c r="W2" s="63" t="s">
        <v>71</v>
      </c>
      <c r="X2" s="63" t="s">
        <v>72</v>
      </c>
      <c r="Y2" s="63" t="s">
        <v>73</v>
      </c>
      <c r="Z2" s="63" t="s">
        <v>74</v>
      </c>
      <c r="AA2" s="63" t="s">
        <v>75</v>
      </c>
      <c r="AB2" s="63" t="s">
        <v>76</v>
      </c>
      <c r="AC2" s="61" t="s">
        <v>104</v>
      </c>
      <c r="AD2" s="89" t="s">
        <v>65</v>
      </c>
      <c r="AE2" s="89" t="s">
        <v>66</v>
      </c>
      <c r="AF2" s="89" t="s">
        <v>67</v>
      </c>
      <c r="AG2" s="89" t="s">
        <v>68</v>
      </c>
      <c r="AH2" s="89" t="s">
        <v>69</v>
      </c>
      <c r="AI2" s="89" t="s">
        <v>70</v>
      </c>
      <c r="AJ2" s="89" t="s">
        <v>71</v>
      </c>
      <c r="AK2" s="89" t="s">
        <v>72</v>
      </c>
      <c r="AL2" s="89" t="s">
        <v>73</v>
      </c>
      <c r="AM2" s="89" t="s">
        <v>74</v>
      </c>
      <c r="AN2" s="89" t="s">
        <v>75</v>
      </c>
      <c r="AO2" s="89" t="s">
        <v>76</v>
      </c>
    </row>
    <row r="3" spans="1:43" ht="15.6" thickTop="1" thickBot="1" x14ac:dyDescent="0.35">
      <c r="A3" s="42" t="s">
        <v>46</v>
      </c>
      <c r="B3" s="48">
        <v>0</v>
      </c>
      <c r="C3" s="39">
        <v>0.03</v>
      </c>
      <c r="D3" s="37">
        <v>0</v>
      </c>
      <c r="E3" s="39">
        <v>0.11</v>
      </c>
      <c r="F3" s="37">
        <v>0</v>
      </c>
      <c r="G3" s="37">
        <v>0</v>
      </c>
      <c r="H3" s="39">
        <v>0.22</v>
      </c>
      <c r="I3" s="37">
        <v>0</v>
      </c>
      <c r="J3" s="37">
        <v>0</v>
      </c>
      <c r="K3" s="39">
        <v>0.05</v>
      </c>
      <c r="L3" s="37">
        <v>0</v>
      </c>
      <c r="M3" s="37">
        <v>0</v>
      </c>
      <c r="N3" s="50">
        <f t="shared" ref="N3:N40" si="0">B3+C3+D3+E3+F3+G3+H3+I3+J3+K3+L3+M3</f>
        <v>0.41</v>
      </c>
      <c r="O3" s="58"/>
      <c r="P3" s="62">
        <v>2862427</v>
      </c>
      <c r="Q3" s="64"/>
      <c r="R3" s="66">
        <f>P3*C3/100</f>
        <v>858.72809999999993</v>
      </c>
      <c r="S3" s="66"/>
      <c r="T3" s="66">
        <f>P3*E3/100</f>
        <v>3148.6697000000004</v>
      </c>
      <c r="U3" s="66"/>
      <c r="V3" s="66"/>
      <c r="W3" s="66">
        <f>P3*H3/100</f>
        <v>6297.3394000000008</v>
      </c>
      <c r="X3" s="66"/>
      <c r="Y3" s="66"/>
      <c r="Z3" s="66">
        <f>P3*K3/100</f>
        <v>1431.2135000000001</v>
      </c>
      <c r="AA3" s="66"/>
      <c r="AB3" s="66"/>
      <c r="AC3" s="62">
        <f>2862427/100000</f>
        <v>28.624269999999999</v>
      </c>
      <c r="AD3" s="99">
        <v>2744.4117647058824</v>
      </c>
      <c r="AE3" s="90">
        <f>R3/AC3</f>
        <v>30</v>
      </c>
      <c r="AF3" s="97">
        <v>2794.848484848485</v>
      </c>
      <c r="AG3" s="90">
        <f>T3/AC3</f>
        <v>110.00000000000001</v>
      </c>
      <c r="AH3" s="96">
        <v>3120</v>
      </c>
      <c r="AI3" s="97">
        <v>2661.7647058823532</v>
      </c>
      <c r="AJ3" s="90">
        <f>W3/AC3</f>
        <v>220.00000000000003</v>
      </c>
      <c r="AK3" s="98">
        <v>2688.2352941176468</v>
      </c>
      <c r="AL3" s="98">
        <v>2193.6363636363635</v>
      </c>
      <c r="AM3" s="90">
        <f>Z3/AC3</f>
        <v>50.000000000000007</v>
      </c>
      <c r="AN3" s="98">
        <v>1714.375</v>
      </c>
      <c r="AO3" s="98">
        <v>1052.7586206896551</v>
      </c>
      <c r="AQ3" s="53">
        <f>AVERAGE(AD3:AO3)</f>
        <v>1615.002519490032</v>
      </c>
    </row>
    <row r="4" spans="1:43" ht="15.6" thickTop="1" thickBot="1" x14ac:dyDescent="0.35">
      <c r="A4" s="42" t="s">
        <v>31</v>
      </c>
      <c r="B4" s="46">
        <v>2.2999999999999998</v>
      </c>
      <c r="C4" s="38">
        <v>2.23</v>
      </c>
      <c r="D4" s="38">
        <v>2.92</v>
      </c>
      <c r="E4" s="38">
        <v>1.95</v>
      </c>
      <c r="F4" s="38">
        <v>4.07</v>
      </c>
      <c r="G4" s="40">
        <v>3.2</v>
      </c>
      <c r="H4" s="38">
        <v>0.84</v>
      </c>
      <c r="I4" s="38">
        <v>1.85</v>
      </c>
      <c r="J4" s="38">
        <v>1.31</v>
      </c>
      <c r="K4" s="38">
        <v>0.69</v>
      </c>
      <c r="L4" s="38">
        <v>2.82</v>
      </c>
      <c r="M4" s="38">
        <v>0.92</v>
      </c>
      <c r="N4" s="50">
        <f t="shared" si="0"/>
        <v>25.1</v>
      </c>
      <c r="O4" s="58"/>
      <c r="P4" s="62">
        <v>8858775</v>
      </c>
      <c r="Q4" s="64">
        <f t="shared" ref="Q4:Q40" si="1">P4*B4/100</f>
        <v>203751.82500000001</v>
      </c>
      <c r="R4" s="66">
        <f t="shared" ref="R4:R40" si="2">P4*C4/100</f>
        <v>197550.6825</v>
      </c>
      <c r="S4" s="66">
        <f t="shared" ref="S4:S40" si="3">P4*D4/100</f>
        <v>258676.23</v>
      </c>
      <c r="T4" s="66">
        <f t="shared" ref="T4:T40" si="4">P4*E4/100</f>
        <v>172746.11249999999</v>
      </c>
      <c r="U4" s="66">
        <f t="shared" ref="U4:U40" si="5">P4*F4/100</f>
        <v>360552.14250000002</v>
      </c>
      <c r="V4" s="66">
        <f t="shared" ref="V4:V40" si="6">P4*G4/100</f>
        <v>283480.8</v>
      </c>
      <c r="W4" s="66">
        <f t="shared" ref="W4:W40" si="7">P4*H4/100</f>
        <v>74413.710000000006</v>
      </c>
      <c r="X4" s="66">
        <f t="shared" ref="X4:X40" si="8">P4*I4/100</f>
        <v>163887.33749999999</v>
      </c>
      <c r="Y4" s="66">
        <f t="shared" ref="Y4:Y40" si="9">P4*J4/100</f>
        <v>116049.9525</v>
      </c>
      <c r="Z4" s="66">
        <f t="shared" ref="Z4:Z40" si="10">P4*K4/100</f>
        <v>61125.547499999993</v>
      </c>
      <c r="AA4" s="66">
        <f t="shared" ref="AA4:AA40" si="11">P4*L4/100</f>
        <v>249817.45499999999</v>
      </c>
      <c r="AB4" s="66">
        <f t="shared" ref="AB4:AB40" si="12">P4*M4/100</f>
        <v>81500.73</v>
      </c>
      <c r="AC4" s="62">
        <f>8858775/100000</f>
        <v>88.58775</v>
      </c>
      <c r="AD4" s="91">
        <f>Q4/AC4</f>
        <v>2300</v>
      </c>
      <c r="AE4" s="90">
        <f t="shared" ref="AE4:AE40" si="13">R4/AC4</f>
        <v>2230</v>
      </c>
      <c r="AF4" s="90">
        <f t="shared" ref="AF4:AF40" si="14">S4/AC4</f>
        <v>2920</v>
      </c>
      <c r="AG4" s="90">
        <f t="shared" ref="AG4:AG40" si="15">T4/AC4</f>
        <v>1949.9999999999998</v>
      </c>
      <c r="AH4" s="90">
        <f t="shared" ref="AH4:AH40" si="16">U4/AC4</f>
        <v>4070</v>
      </c>
      <c r="AI4" s="90">
        <f t="shared" ref="AI4:AI40" si="17">V4/AC4</f>
        <v>3200</v>
      </c>
      <c r="AJ4" s="90">
        <f t="shared" ref="AJ4:AJ40" si="18">W4/AC4</f>
        <v>840.00000000000011</v>
      </c>
      <c r="AK4" s="90">
        <f t="shared" ref="AK4:AK40" si="19">X4/AC4</f>
        <v>1850</v>
      </c>
      <c r="AL4" s="90">
        <f t="shared" ref="AL4:AL40" si="20">Y4/AC4</f>
        <v>1310</v>
      </c>
      <c r="AM4" s="90">
        <f t="shared" ref="AM4:AM40" si="21">Z4/AC4</f>
        <v>689.99999999999989</v>
      </c>
      <c r="AN4" s="90">
        <f t="shared" ref="AN4:AN40" si="22">AA4/AC4</f>
        <v>2820</v>
      </c>
      <c r="AO4" s="90">
        <f t="shared" ref="AO4:AO40" si="23">AB4/AC4</f>
        <v>920</v>
      </c>
      <c r="AQ4" s="53">
        <f t="shared" ref="AQ4:AQ40" si="24">AVERAGE(AD4:AO4)</f>
        <v>2091.6666666666665</v>
      </c>
    </row>
    <row r="5" spans="1:43" ht="15.6" thickTop="1" thickBot="1" x14ac:dyDescent="0.35">
      <c r="A5" s="42" t="s">
        <v>12</v>
      </c>
      <c r="B5" s="44">
        <v>2.13</v>
      </c>
      <c r="C5" s="39">
        <v>1.72</v>
      </c>
      <c r="D5" s="41">
        <v>2.4</v>
      </c>
      <c r="E5" s="39">
        <v>1.76</v>
      </c>
      <c r="F5" s="39">
        <v>2.42</v>
      </c>
      <c r="G5" s="39">
        <v>1.52</v>
      </c>
      <c r="H5" s="39">
        <v>2.99</v>
      </c>
      <c r="I5" s="39">
        <v>2.17</v>
      </c>
      <c r="J5" s="39">
        <v>1.85</v>
      </c>
      <c r="K5" s="39">
        <v>0.75</v>
      </c>
      <c r="L5" s="39">
        <v>2.79</v>
      </c>
      <c r="M5" s="41">
        <v>0.8</v>
      </c>
      <c r="N5" s="50">
        <f t="shared" si="0"/>
        <v>23.3</v>
      </c>
      <c r="O5" s="58"/>
      <c r="P5" s="62">
        <v>11455519</v>
      </c>
      <c r="Q5" s="64">
        <f t="shared" si="1"/>
        <v>244002.55469999998</v>
      </c>
      <c r="R5" s="66">
        <f t="shared" si="2"/>
        <v>197034.92679999999</v>
      </c>
      <c r="S5" s="66">
        <f t="shared" si="3"/>
        <v>274932.45600000001</v>
      </c>
      <c r="T5" s="66">
        <f t="shared" si="4"/>
        <v>201617.13440000001</v>
      </c>
      <c r="U5" s="66">
        <f t="shared" si="5"/>
        <v>277223.55979999999</v>
      </c>
      <c r="V5" s="66">
        <f t="shared" si="6"/>
        <v>174123.88879999999</v>
      </c>
      <c r="W5" s="66">
        <f t="shared" si="7"/>
        <v>342520.01810000004</v>
      </c>
      <c r="X5" s="66">
        <f t="shared" si="8"/>
        <v>248584.7623</v>
      </c>
      <c r="Y5" s="66">
        <f t="shared" si="9"/>
        <v>211927.10150000002</v>
      </c>
      <c r="Z5" s="66">
        <f t="shared" si="10"/>
        <v>85916.392500000002</v>
      </c>
      <c r="AA5" s="66">
        <f t="shared" si="11"/>
        <v>319608.98010000004</v>
      </c>
      <c r="AB5" s="66">
        <f t="shared" si="12"/>
        <v>91644.152000000016</v>
      </c>
      <c r="AC5" s="62">
        <f>11455519/100000</f>
        <v>114.55519</v>
      </c>
      <c r="AD5" s="91">
        <f>Q5/AC5</f>
        <v>2130</v>
      </c>
      <c r="AE5" s="90">
        <f t="shared" si="13"/>
        <v>1720</v>
      </c>
      <c r="AF5" s="90">
        <f t="shared" si="14"/>
        <v>2400</v>
      </c>
      <c r="AG5" s="90">
        <f t="shared" si="15"/>
        <v>1760.0000000000002</v>
      </c>
      <c r="AH5" s="90">
        <f t="shared" si="16"/>
        <v>2420</v>
      </c>
      <c r="AI5" s="90">
        <f t="shared" si="17"/>
        <v>1520</v>
      </c>
      <c r="AJ5" s="90">
        <f t="shared" si="18"/>
        <v>2990.0000000000005</v>
      </c>
      <c r="AK5" s="90">
        <f t="shared" si="19"/>
        <v>2170</v>
      </c>
      <c r="AL5" s="90">
        <f t="shared" si="20"/>
        <v>1850.0000000000002</v>
      </c>
      <c r="AM5" s="90">
        <f t="shared" si="21"/>
        <v>750</v>
      </c>
      <c r="AN5" s="90">
        <f t="shared" si="22"/>
        <v>2790.0000000000005</v>
      </c>
      <c r="AO5" s="90">
        <f t="shared" si="23"/>
        <v>800.00000000000023</v>
      </c>
      <c r="AQ5" s="53">
        <f t="shared" si="24"/>
        <v>1941.6666666666667</v>
      </c>
    </row>
    <row r="6" spans="1:43" ht="15.6" thickTop="1" thickBot="1" x14ac:dyDescent="0.35">
      <c r="A6" s="42" t="s">
        <v>43</v>
      </c>
      <c r="B6" s="45">
        <v>0.34</v>
      </c>
      <c r="C6" s="36">
        <v>0</v>
      </c>
      <c r="D6" s="38">
        <v>0.93</v>
      </c>
      <c r="E6" s="36">
        <v>0</v>
      </c>
      <c r="F6" s="36">
        <v>0</v>
      </c>
      <c r="G6" s="36">
        <v>0</v>
      </c>
      <c r="H6" s="38">
        <v>0.51</v>
      </c>
      <c r="I6" s="36">
        <v>0</v>
      </c>
      <c r="J6" s="38">
        <v>0.21</v>
      </c>
      <c r="K6" s="38">
        <v>0.12</v>
      </c>
      <c r="L6" s="38">
        <v>0.23</v>
      </c>
      <c r="M6" s="36">
        <v>0</v>
      </c>
      <c r="N6" s="50">
        <f t="shared" si="0"/>
        <v>2.34</v>
      </c>
      <c r="O6" s="58"/>
      <c r="P6" s="62">
        <v>3492018</v>
      </c>
      <c r="Q6" s="64">
        <f t="shared" si="1"/>
        <v>11872.861200000001</v>
      </c>
      <c r="R6" s="66"/>
      <c r="S6" s="66">
        <f t="shared" si="3"/>
        <v>32475.767400000001</v>
      </c>
      <c r="T6" s="66"/>
      <c r="U6" s="66"/>
      <c r="V6" s="66"/>
      <c r="W6" s="66">
        <f t="shared" si="7"/>
        <v>17809.291799999999</v>
      </c>
      <c r="X6" s="66"/>
      <c r="Y6" s="66">
        <f t="shared" si="9"/>
        <v>7333.2377999999999</v>
      </c>
      <c r="Z6" s="66">
        <f t="shared" si="10"/>
        <v>4190.4215999999997</v>
      </c>
      <c r="AA6" s="66">
        <f t="shared" si="11"/>
        <v>8031.6414000000004</v>
      </c>
      <c r="AB6" s="66"/>
      <c r="AC6" s="62">
        <f>3492018/100000</f>
        <v>34.920180000000002</v>
      </c>
      <c r="AD6" s="91">
        <f t="shared" ref="AD6:AD40" si="25">Q6/AC6</f>
        <v>340</v>
      </c>
      <c r="AE6" s="98">
        <v>2285.3333333333335</v>
      </c>
      <c r="AF6" s="90">
        <f t="shared" si="14"/>
        <v>930</v>
      </c>
      <c r="AG6" s="98">
        <v>2609.4117647058824</v>
      </c>
      <c r="AH6" s="96">
        <v>3120</v>
      </c>
      <c r="AI6" s="97">
        <v>2661.7647058823532</v>
      </c>
      <c r="AJ6" s="90">
        <f t="shared" si="18"/>
        <v>509.99999999999994</v>
      </c>
      <c r="AK6" s="98">
        <v>2688.2352941176468</v>
      </c>
      <c r="AL6" s="90">
        <f t="shared" si="20"/>
        <v>209.99999999999997</v>
      </c>
      <c r="AM6" s="90">
        <f t="shared" si="21"/>
        <v>119.99999999999999</v>
      </c>
      <c r="AN6" s="90">
        <f t="shared" si="22"/>
        <v>230</v>
      </c>
      <c r="AO6" s="98">
        <v>1052.7586206896551</v>
      </c>
      <c r="AQ6" s="53">
        <f t="shared" si="24"/>
        <v>1396.4586432274061</v>
      </c>
    </row>
    <row r="7" spans="1:43" ht="15.6" thickTop="1" thickBot="1" x14ac:dyDescent="0.35">
      <c r="A7" s="42" t="s">
        <v>13</v>
      </c>
      <c r="B7" s="45">
        <v>0.24</v>
      </c>
      <c r="C7" s="36">
        <v>0</v>
      </c>
      <c r="D7" s="38">
        <v>0.19</v>
      </c>
      <c r="E7" s="38">
        <v>0.72</v>
      </c>
      <c r="F7" s="38">
        <v>0.53</v>
      </c>
      <c r="G7" s="38">
        <v>0.85</v>
      </c>
      <c r="H7" s="38">
        <v>0.51</v>
      </c>
      <c r="I7" s="38">
        <v>0.46</v>
      </c>
      <c r="J7" s="40">
        <v>0.5</v>
      </c>
      <c r="K7" s="38">
        <v>0.27</v>
      </c>
      <c r="L7" s="38">
        <v>0.55000000000000004</v>
      </c>
      <c r="M7" s="38">
        <v>0.31</v>
      </c>
      <c r="N7" s="50">
        <f t="shared" si="0"/>
        <v>5.129999999999999</v>
      </c>
      <c r="O7" s="58"/>
      <c r="P7" s="62">
        <v>7000039</v>
      </c>
      <c r="Q7" s="64">
        <f t="shared" si="1"/>
        <v>16800.0936</v>
      </c>
      <c r="R7" s="66"/>
      <c r="S7" s="66">
        <f t="shared" si="3"/>
        <v>13300.0741</v>
      </c>
      <c r="T7" s="66">
        <f t="shared" si="4"/>
        <v>50400.2808</v>
      </c>
      <c r="U7" s="66">
        <f t="shared" si="5"/>
        <v>37100.206700000002</v>
      </c>
      <c r="V7" s="66">
        <f t="shared" si="6"/>
        <v>59500.331499999993</v>
      </c>
      <c r="W7" s="66">
        <f t="shared" si="7"/>
        <v>35700.198900000003</v>
      </c>
      <c r="X7" s="66">
        <f t="shared" si="8"/>
        <v>32200.179400000001</v>
      </c>
      <c r="Y7" s="66">
        <f t="shared" si="9"/>
        <v>35000.195</v>
      </c>
      <c r="Z7" s="66">
        <f t="shared" si="10"/>
        <v>18900.105299999999</v>
      </c>
      <c r="AA7" s="66">
        <f t="shared" si="11"/>
        <v>38500.214500000002</v>
      </c>
      <c r="AB7" s="66">
        <f t="shared" si="12"/>
        <v>21700.120899999998</v>
      </c>
      <c r="AC7" s="62">
        <f>7000039/100000</f>
        <v>70.000389999999996</v>
      </c>
      <c r="AD7" s="91">
        <f t="shared" si="25"/>
        <v>240.00000000000003</v>
      </c>
      <c r="AE7" s="98">
        <v>2285.3333333333335</v>
      </c>
      <c r="AF7" s="90">
        <f t="shared" si="14"/>
        <v>190</v>
      </c>
      <c r="AG7" s="90">
        <f t="shared" si="15"/>
        <v>720</v>
      </c>
      <c r="AH7" s="90">
        <f t="shared" si="16"/>
        <v>530.00000000000011</v>
      </c>
      <c r="AI7" s="90">
        <f t="shared" si="17"/>
        <v>850</v>
      </c>
      <c r="AJ7" s="90">
        <f t="shared" si="18"/>
        <v>510.00000000000006</v>
      </c>
      <c r="AK7" s="90">
        <f t="shared" si="19"/>
        <v>460.00000000000006</v>
      </c>
      <c r="AL7" s="90">
        <f t="shared" si="20"/>
        <v>500</v>
      </c>
      <c r="AM7" s="90">
        <f t="shared" si="21"/>
        <v>270</v>
      </c>
      <c r="AN7" s="90">
        <f t="shared" si="22"/>
        <v>550.00000000000011</v>
      </c>
      <c r="AO7" s="90">
        <f t="shared" si="23"/>
        <v>310</v>
      </c>
      <c r="AQ7" s="53">
        <f t="shared" si="24"/>
        <v>617.94444444444446</v>
      </c>
    </row>
    <row r="8" spans="1:43" ht="15.6" thickTop="1" thickBot="1" x14ac:dyDescent="0.35">
      <c r="A8" s="42" t="s">
        <v>22</v>
      </c>
      <c r="B8" s="44">
        <v>1.02</v>
      </c>
      <c r="C8" s="39">
        <v>3.77</v>
      </c>
      <c r="D8" s="39">
        <v>0.16</v>
      </c>
      <c r="E8" s="39">
        <v>2.41</v>
      </c>
      <c r="F8" s="39">
        <v>2.92</v>
      </c>
      <c r="G8" s="41">
        <v>1.9</v>
      </c>
      <c r="H8" s="39">
        <v>2.34</v>
      </c>
      <c r="I8" s="41">
        <v>1.3</v>
      </c>
      <c r="J8" s="39">
        <v>2.11</v>
      </c>
      <c r="K8" s="39">
        <v>0.15</v>
      </c>
      <c r="L8" s="39">
        <v>0.19</v>
      </c>
      <c r="M8" s="39">
        <v>0.17</v>
      </c>
      <c r="N8" s="50">
        <f t="shared" si="0"/>
        <v>18.440000000000005</v>
      </c>
      <c r="O8" s="58"/>
      <c r="P8" s="62">
        <v>4076246</v>
      </c>
      <c r="Q8" s="64">
        <f t="shared" si="1"/>
        <v>41577.709199999998</v>
      </c>
      <c r="R8" s="66">
        <f t="shared" si="2"/>
        <v>153674.4742</v>
      </c>
      <c r="S8" s="66">
        <f t="shared" si="3"/>
        <v>6521.9935999999998</v>
      </c>
      <c r="T8" s="66">
        <f t="shared" si="4"/>
        <v>98237.52860000002</v>
      </c>
      <c r="U8" s="66">
        <f t="shared" si="5"/>
        <v>119026.3832</v>
      </c>
      <c r="V8" s="66">
        <f t="shared" si="6"/>
        <v>77448.673999999999</v>
      </c>
      <c r="W8" s="66">
        <f t="shared" si="7"/>
        <v>95384.156399999993</v>
      </c>
      <c r="X8" s="66">
        <f t="shared" si="8"/>
        <v>52991.197999999997</v>
      </c>
      <c r="Y8" s="66">
        <f t="shared" si="9"/>
        <v>86008.790599999993</v>
      </c>
      <c r="Z8" s="66">
        <f t="shared" si="10"/>
        <v>6114.3690000000006</v>
      </c>
      <c r="AA8" s="66">
        <f t="shared" si="11"/>
        <v>7744.8674000000001</v>
      </c>
      <c r="AB8" s="66">
        <f t="shared" si="12"/>
        <v>6929.6182000000008</v>
      </c>
      <c r="AC8" s="62">
        <f>4076246/100000</f>
        <v>40.762459999999997</v>
      </c>
      <c r="AD8" s="91">
        <f t="shared" si="25"/>
        <v>1020</v>
      </c>
      <c r="AE8" s="90">
        <f t="shared" si="13"/>
        <v>3770</v>
      </c>
      <c r="AF8" s="90">
        <f t="shared" si="14"/>
        <v>160</v>
      </c>
      <c r="AG8" s="90">
        <f t="shared" si="15"/>
        <v>2410.0000000000005</v>
      </c>
      <c r="AH8" s="90">
        <f t="shared" si="16"/>
        <v>2920</v>
      </c>
      <c r="AI8" s="90">
        <f t="shared" si="17"/>
        <v>1900</v>
      </c>
      <c r="AJ8" s="90">
        <f t="shared" si="18"/>
        <v>2340</v>
      </c>
      <c r="AK8" s="90">
        <f t="shared" si="19"/>
        <v>1300</v>
      </c>
      <c r="AL8" s="90">
        <f t="shared" si="20"/>
        <v>2110</v>
      </c>
      <c r="AM8" s="90">
        <f t="shared" si="21"/>
        <v>150.00000000000003</v>
      </c>
      <c r="AN8" s="90">
        <f t="shared" si="22"/>
        <v>190.00000000000003</v>
      </c>
      <c r="AO8" s="90">
        <f t="shared" si="23"/>
        <v>170.00000000000003</v>
      </c>
      <c r="AQ8" s="53">
        <f t="shared" si="24"/>
        <v>1536.6666666666667</v>
      </c>
    </row>
    <row r="9" spans="1:43" ht="15.6" thickTop="1" thickBot="1" x14ac:dyDescent="0.35">
      <c r="A9" s="42" t="s">
        <v>24</v>
      </c>
      <c r="B9" s="44">
        <v>1.89</v>
      </c>
      <c r="C9" s="37">
        <v>0</v>
      </c>
      <c r="D9" s="39">
        <v>0.66</v>
      </c>
      <c r="E9" s="39">
        <v>0.26</v>
      </c>
      <c r="F9" s="39">
        <v>1.73</v>
      </c>
      <c r="G9" s="39">
        <v>1.25</v>
      </c>
      <c r="H9" s="39">
        <v>0.91</v>
      </c>
      <c r="I9" s="39">
        <v>0.64</v>
      </c>
      <c r="J9" s="39">
        <v>1.1299999999999999</v>
      </c>
      <c r="K9" s="39">
        <v>0.64</v>
      </c>
      <c r="L9" s="39">
        <v>1.42</v>
      </c>
      <c r="M9" s="39">
        <v>0.46</v>
      </c>
      <c r="N9" s="50">
        <f t="shared" si="0"/>
        <v>10.99</v>
      </c>
      <c r="O9" s="58"/>
      <c r="P9" s="62">
        <v>875899</v>
      </c>
      <c r="Q9" s="64">
        <f t="shared" si="1"/>
        <v>16554.491099999999</v>
      </c>
      <c r="R9" s="66"/>
      <c r="S9" s="66">
        <f t="shared" si="3"/>
        <v>5780.9334000000008</v>
      </c>
      <c r="T9" s="66">
        <f t="shared" si="4"/>
        <v>2277.3374000000003</v>
      </c>
      <c r="U9" s="66">
        <f t="shared" si="5"/>
        <v>15153.0527</v>
      </c>
      <c r="V9" s="66">
        <f t="shared" si="6"/>
        <v>10948.737499999999</v>
      </c>
      <c r="W9" s="66">
        <f t="shared" si="7"/>
        <v>7970.6809000000012</v>
      </c>
      <c r="X9" s="66">
        <f t="shared" si="8"/>
        <v>5605.7536</v>
      </c>
      <c r="Y9" s="66">
        <f t="shared" si="9"/>
        <v>9897.6586999999981</v>
      </c>
      <c r="Z9" s="66">
        <f t="shared" si="10"/>
        <v>5605.7536</v>
      </c>
      <c r="AA9" s="66">
        <f t="shared" si="11"/>
        <v>12437.765799999999</v>
      </c>
      <c r="AB9" s="66">
        <f t="shared" si="12"/>
        <v>4029.1354000000006</v>
      </c>
      <c r="AC9" s="62">
        <f>875899/100000</f>
        <v>8.7589900000000007</v>
      </c>
      <c r="AD9" s="91">
        <f t="shared" si="25"/>
        <v>1889.9999999999998</v>
      </c>
      <c r="AE9" s="98">
        <v>2285.3333333333335</v>
      </c>
      <c r="AF9" s="90">
        <f t="shared" si="14"/>
        <v>660</v>
      </c>
      <c r="AG9" s="90">
        <f t="shared" si="15"/>
        <v>260</v>
      </c>
      <c r="AH9" s="90">
        <f t="shared" si="16"/>
        <v>1729.9999999999998</v>
      </c>
      <c r="AI9" s="90">
        <f t="shared" si="17"/>
        <v>1249.9999999999998</v>
      </c>
      <c r="AJ9" s="90">
        <f t="shared" si="18"/>
        <v>910.00000000000011</v>
      </c>
      <c r="AK9" s="90">
        <f t="shared" si="19"/>
        <v>640</v>
      </c>
      <c r="AL9" s="90">
        <f t="shared" si="20"/>
        <v>1129.9999999999998</v>
      </c>
      <c r="AM9" s="90">
        <f t="shared" si="21"/>
        <v>640</v>
      </c>
      <c r="AN9" s="90">
        <f t="shared" si="22"/>
        <v>1419.9999999999998</v>
      </c>
      <c r="AO9" s="90">
        <f t="shared" si="23"/>
        <v>460</v>
      </c>
      <c r="AQ9" s="53">
        <f t="shared" si="24"/>
        <v>1106.2777777777778</v>
      </c>
    </row>
    <row r="10" spans="1:43" ht="15.6" thickTop="1" thickBot="1" x14ac:dyDescent="0.35">
      <c r="A10" s="42" t="s">
        <v>14</v>
      </c>
      <c r="B10" s="48">
        <v>0</v>
      </c>
      <c r="C10" s="39">
        <v>0.64</v>
      </c>
      <c r="D10" s="37">
        <v>0</v>
      </c>
      <c r="E10" s="39">
        <v>0.75</v>
      </c>
      <c r="F10" s="39">
        <v>1.24</v>
      </c>
      <c r="G10" s="41">
        <v>0.3</v>
      </c>
      <c r="H10" s="39">
        <v>0.82</v>
      </c>
      <c r="I10" s="39">
        <v>0.87</v>
      </c>
      <c r="J10" s="39">
        <v>0.72</v>
      </c>
      <c r="K10" s="39">
        <v>0.53</v>
      </c>
      <c r="L10" s="39">
        <v>0.34</v>
      </c>
      <c r="M10" s="41">
        <v>0.5</v>
      </c>
      <c r="N10" s="50">
        <f t="shared" si="0"/>
        <v>6.7099999999999991</v>
      </c>
      <c r="O10" s="58"/>
      <c r="P10" s="62">
        <v>10649800</v>
      </c>
      <c r="Q10" s="64"/>
      <c r="R10" s="66">
        <f t="shared" si="2"/>
        <v>68158.720000000001</v>
      </c>
      <c r="S10" s="66"/>
      <c r="T10" s="66">
        <f t="shared" si="4"/>
        <v>79873.5</v>
      </c>
      <c r="U10" s="66">
        <f t="shared" si="5"/>
        <v>132057.51999999999</v>
      </c>
      <c r="V10" s="66">
        <f t="shared" si="6"/>
        <v>31949.4</v>
      </c>
      <c r="W10" s="66">
        <f t="shared" si="7"/>
        <v>87328.36</v>
      </c>
      <c r="X10" s="66">
        <f t="shared" si="8"/>
        <v>92653.26</v>
      </c>
      <c r="Y10" s="66">
        <f t="shared" si="9"/>
        <v>76678.559999999998</v>
      </c>
      <c r="Z10" s="66">
        <f t="shared" si="10"/>
        <v>56443.94</v>
      </c>
      <c r="AA10" s="66">
        <f t="shared" si="11"/>
        <v>36209.320000000007</v>
      </c>
      <c r="AB10" s="66">
        <f t="shared" si="12"/>
        <v>53249</v>
      </c>
      <c r="AC10" s="62">
        <f>10649800/100000</f>
        <v>106.498</v>
      </c>
      <c r="AD10" s="99">
        <v>2744.4117647058824</v>
      </c>
      <c r="AE10" s="90">
        <f t="shared" si="13"/>
        <v>640</v>
      </c>
      <c r="AF10" s="97">
        <v>2794.848484848485</v>
      </c>
      <c r="AG10" s="90">
        <f t="shared" si="15"/>
        <v>750</v>
      </c>
      <c r="AH10" s="90">
        <f t="shared" si="16"/>
        <v>1239.9999999999998</v>
      </c>
      <c r="AI10" s="90">
        <f t="shared" si="17"/>
        <v>300</v>
      </c>
      <c r="AJ10" s="90">
        <f t="shared" si="18"/>
        <v>820</v>
      </c>
      <c r="AK10" s="90">
        <f t="shared" si="19"/>
        <v>869.99999999999989</v>
      </c>
      <c r="AL10" s="90">
        <f t="shared" si="20"/>
        <v>720</v>
      </c>
      <c r="AM10" s="90">
        <f t="shared" si="21"/>
        <v>530</v>
      </c>
      <c r="AN10" s="90">
        <f t="shared" si="22"/>
        <v>340.00000000000006</v>
      </c>
      <c r="AO10" s="90">
        <f t="shared" si="23"/>
        <v>500</v>
      </c>
      <c r="AQ10" s="53">
        <f t="shared" si="24"/>
        <v>1020.771687462864</v>
      </c>
    </row>
    <row r="11" spans="1:43" ht="15.6" thickTop="1" thickBot="1" x14ac:dyDescent="0.35">
      <c r="A11" s="42" t="s">
        <v>15</v>
      </c>
      <c r="B11" s="45">
        <v>6.34</v>
      </c>
      <c r="C11" s="38">
        <v>3.44</v>
      </c>
      <c r="D11" s="40">
        <v>4.5</v>
      </c>
      <c r="E11" s="38">
        <v>4.13</v>
      </c>
      <c r="F11" s="38">
        <v>7.42</v>
      </c>
      <c r="G11" s="38">
        <v>5.44</v>
      </c>
      <c r="H11" s="38">
        <v>7.73</v>
      </c>
      <c r="I11" s="38">
        <v>6.72</v>
      </c>
      <c r="J11" s="38">
        <v>6.62</v>
      </c>
      <c r="K11" s="40">
        <v>5</v>
      </c>
      <c r="L11" s="38">
        <v>6.18</v>
      </c>
      <c r="M11" s="38">
        <v>3.51</v>
      </c>
      <c r="N11" s="50">
        <f t="shared" si="0"/>
        <v>67.03</v>
      </c>
      <c r="O11" s="58"/>
      <c r="P11" s="62">
        <v>5806081</v>
      </c>
      <c r="Q11" s="64">
        <f t="shared" si="1"/>
        <v>368105.53539999999</v>
      </c>
      <c r="R11" s="66">
        <f t="shared" si="2"/>
        <v>199729.18640000001</v>
      </c>
      <c r="S11" s="66">
        <f t="shared" si="3"/>
        <v>261273.64499999999</v>
      </c>
      <c r="T11" s="66">
        <f t="shared" si="4"/>
        <v>239791.1453</v>
      </c>
      <c r="U11" s="66">
        <f t="shared" si="5"/>
        <v>430811.21020000003</v>
      </c>
      <c r="V11" s="66">
        <f t="shared" si="6"/>
        <v>315850.8064</v>
      </c>
      <c r="W11" s="66">
        <f t="shared" si="7"/>
        <v>448810.0613</v>
      </c>
      <c r="X11" s="66">
        <f t="shared" si="8"/>
        <v>390168.64319999999</v>
      </c>
      <c r="Y11" s="66">
        <f t="shared" si="9"/>
        <v>384362.56219999999</v>
      </c>
      <c r="Z11" s="66">
        <f t="shared" si="10"/>
        <v>290304.05</v>
      </c>
      <c r="AA11" s="66">
        <f t="shared" si="11"/>
        <v>358815.80579999997</v>
      </c>
      <c r="AB11" s="66">
        <f t="shared" si="12"/>
        <v>203793.44309999997</v>
      </c>
      <c r="AC11" s="62">
        <f>5806081/100000</f>
        <v>58.060809999999996</v>
      </c>
      <c r="AD11" s="91">
        <f t="shared" si="25"/>
        <v>6340</v>
      </c>
      <c r="AE11" s="90">
        <f t="shared" si="13"/>
        <v>3440.0000000000005</v>
      </c>
      <c r="AF11" s="90">
        <f t="shared" si="14"/>
        <v>4500</v>
      </c>
      <c r="AG11" s="90">
        <f t="shared" si="15"/>
        <v>4130</v>
      </c>
      <c r="AH11" s="90">
        <f t="shared" si="16"/>
        <v>7420.0000000000009</v>
      </c>
      <c r="AI11" s="90">
        <f t="shared" si="17"/>
        <v>5440</v>
      </c>
      <c r="AJ11" s="90">
        <f t="shared" si="18"/>
        <v>7730.0000000000009</v>
      </c>
      <c r="AK11" s="90">
        <f t="shared" si="19"/>
        <v>6720</v>
      </c>
      <c r="AL11" s="90">
        <f t="shared" si="20"/>
        <v>6620</v>
      </c>
      <c r="AM11" s="90">
        <f t="shared" si="21"/>
        <v>5000</v>
      </c>
      <c r="AN11" s="90">
        <f t="shared" si="22"/>
        <v>6180</v>
      </c>
      <c r="AO11" s="90">
        <f t="shared" si="23"/>
        <v>3510</v>
      </c>
      <c r="AQ11" s="53">
        <f t="shared" si="24"/>
        <v>5585.833333333333</v>
      </c>
    </row>
    <row r="12" spans="1:43" ht="15.6" thickTop="1" thickBot="1" x14ac:dyDescent="0.35">
      <c r="A12" s="42" t="s">
        <v>17</v>
      </c>
      <c r="B12" s="45">
        <v>0.92</v>
      </c>
      <c r="C12" s="38">
        <v>1.17</v>
      </c>
      <c r="D12" s="38">
        <v>2.33</v>
      </c>
      <c r="E12" s="38">
        <v>2.46</v>
      </c>
      <c r="F12" s="38">
        <v>3.44</v>
      </c>
      <c r="G12" s="38">
        <v>1.36</v>
      </c>
      <c r="H12" s="40">
        <v>1.4</v>
      </c>
      <c r="I12" s="38">
        <v>0.85</v>
      </c>
      <c r="J12" s="38">
        <v>0.33</v>
      </c>
      <c r="K12" s="40">
        <v>0.5</v>
      </c>
      <c r="L12" s="38">
        <v>0.44</v>
      </c>
      <c r="M12" s="36">
        <v>0</v>
      </c>
      <c r="N12" s="50">
        <f t="shared" si="0"/>
        <v>15.2</v>
      </c>
      <c r="O12" s="58"/>
      <c r="P12" s="62">
        <v>1324820</v>
      </c>
      <c r="Q12" s="64">
        <f t="shared" si="1"/>
        <v>12188.344000000001</v>
      </c>
      <c r="R12" s="66">
        <f t="shared" si="2"/>
        <v>15500.393999999998</v>
      </c>
      <c r="S12" s="66">
        <f t="shared" si="3"/>
        <v>30868.306</v>
      </c>
      <c r="T12" s="66">
        <f t="shared" si="4"/>
        <v>32590.571999999996</v>
      </c>
      <c r="U12" s="66">
        <f t="shared" si="5"/>
        <v>45573.807999999997</v>
      </c>
      <c r="V12" s="66">
        <f t="shared" si="6"/>
        <v>18017.552000000003</v>
      </c>
      <c r="W12" s="66">
        <f t="shared" si="7"/>
        <v>18547.479999999996</v>
      </c>
      <c r="X12" s="66">
        <f t="shared" si="8"/>
        <v>11260.97</v>
      </c>
      <c r="Y12" s="66">
        <f t="shared" si="9"/>
        <v>4371.9059999999999</v>
      </c>
      <c r="Z12" s="66">
        <f t="shared" si="10"/>
        <v>6624.1</v>
      </c>
      <c r="AA12" s="66">
        <f t="shared" si="11"/>
        <v>5829.2080000000005</v>
      </c>
      <c r="AB12" s="66"/>
      <c r="AC12" s="62">
        <f>1324820/100000</f>
        <v>13.248200000000001</v>
      </c>
      <c r="AD12" s="91">
        <f t="shared" si="25"/>
        <v>920</v>
      </c>
      <c r="AE12" s="90">
        <f t="shared" si="13"/>
        <v>1169.9999999999998</v>
      </c>
      <c r="AF12" s="90">
        <f t="shared" si="14"/>
        <v>2330</v>
      </c>
      <c r="AG12" s="90">
        <f t="shared" si="15"/>
        <v>2459.9999999999995</v>
      </c>
      <c r="AH12" s="90">
        <f t="shared" si="16"/>
        <v>3439.9999999999995</v>
      </c>
      <c r="AI12" s="90">
        <f t="shared" si="17"/>
        <v>1360.0000000000002</v>
      </c>
      <c r="AJ12" s="90">
        <f t="shared" si="18"/>
        <v>1399.9999999999995</v>
      </c>
      <c r="AK12" s="90">
        <f t="shared" si="19"/>
        <v>849.99999999999989</v>
      </c>
      <c r="AL12" s="90">
        <f t="shared" si="20"/>
        <v>330</v>
      </c>
      <c r="AM12" s="90">
        <f t="shared" si="21"/>
        <v>500</v>
      </c>
      <c r="AN12" s="90">
        <f t="shared" si="22"/>
        <v>440</v>
      </c>
      <c r="AO12" s="98">
        <v>1052.7586206896551</v>
      </c>
      <c r="AQ12" s="53">
        <f t="shared" si="24"/>
        <v>1354.3965517241379</v>
      </c>
    </row>
    <row r="13" spans="1:43" ht="15.6" thickTop="1" thickBot="1" x14ac:dyDescent="0.35">
      <c r="A13" s="42" t="s">
        <v>37</v>
      </c>
      <c r="B13" s="49">
        <v>0</v>
      </c>
      <c r="C13" s="38">
        <v>2.31</v>
      </c>
      <c r="D13" s="38">
        <v>3.91</v>
      </c>
      <c r="E13" s="38">
        <v>0.56999999999999995</v>
      </c>
      <c r="F13" s="38">
        <v>2.14</v>
      </c>
      <c r="G13" s="38">
        <v>1.44</v>
      </c>
      <c r="H13" s="38">
        <v>2.76</v>
      </c>
      <c r="I13" s="40">
        <v>2.2000000000000002</v>
      </c>
      <c r="J13" s="38">
        <v>2.1800000000000002</v>
      </c>
      <c r="K13" s="38">
        <v>1.02</v>
      </c>
      <c r="L13" s="38">
        <v>0.76</v>
      </c>
      <c r="M13" s="38">
        <v>0.89</v>
      </c>
      <c r="N13" s="50">
        <f t="shared" si="0"/>
        <v>20.180000000000003</v>
      </c>
      <c r="O13" s="58"/>
      <c r="P13" s="62">
        <v>5517919</v>
      </c>
      <c r="Q13" s="64"/>
      <c r="R13" s="66">
        <f t="shared" si="2"/>
        <v>127463.9289</v>
      </c>
      <c r="S13" s="66">
        <f t="shared" si="3"/>
        <v>215750.6329</v>
      </c>
      <c r="T13" s="66">
        <f t="shared" si="4"/>
        <v>31452.138299999995</v>
      </c>
      <c r="U13" s="66">
        <f t="shared" si="5"/>
        <v>118083.4666</v>
      </c>
      <c r="V13" s="66">
        <f t="shared" si="6"/>
        <v>79458.033599999995</v>
      </c>
      <c r="W13" s="66">
        <f t="shared" si="7"/>
        <v>152294.5644</v>
      </c>
      <c r="X13" s="66">
        <f t="shared" si="8"/>
        <v>121394.21800000001</v>
      </c>
      <c r="Y13" s="66">
        <f t="shared" si="9"/>
        <v>120290.63420000001</v>
      </c>
      <c r="Z13" s="66">
        <f t="shared" si="10"/>
        <v>56282.773799999995</v>
      </c>
      <c r="AA13" s="66">
        <f t="shared" si="11"/>
        <v>41936.184399999998</v>
      </c>
      <c r="AB13" s="66">
        <f t="shared" si="12"/>
        <v>49109.479100000004</v>
      </c>
      <c r="AC13" s="62">
        <f>5517919/100000</f>
        <v>55.179189999999998</v>
      </c>
      <c r="AD13" s="99">
        <v>2744.4117647058824</v>
      </c>
      <c r="AE13" s="90">
        <f t="shared" si="13"/>
        <v>2310</v>
      </c>
      <c r="AF13" s="90">
        <f t="shared" si="14"/>
        <v>3910</v>
      </c>
      <c r="AG13" s="90">
        <f t="shared" si="15"/>
        <v>569.99999999999989</v>
      </c>
      <c r="AH13" s="90">
        <f t="shared" si="16"/>
        <v>2140</v>
      </c>
      <c r="AI13" s="90">
        <f t="shared" si="17"/>
        <v>1440</v>
      </c>
      <c r="AJ13" s="90">
        <f t="shared" si="18"/>
        <v>2760</v>
      </c>
      <c r="AK13" s="90">
        <f t="shared" si="19"/>
        <v>2200</v>
      </c>
      <c r="AL13" s="90">
        <f t="shared" si="20"/>
        <v>2180.0000000000005</v>
      </c>
      <c r="AM13" s="90">
        <f t="shared" si="21"/>
        <v>1020</v>
      </c>
      <c r="AN13" s="90">
        <f t="shared" si="22"/>
        <v>760</v>
      </c>
      <c r="AO13" s="90">
        <f t="shared" si="23"/>
        <v>890.00000000000011</v>
      </c>
      <c r="AQ13" s="53">
        <f t="shared" si="24"/>
        <v>1910.3676470588234</v>
      </c>
    </row>
    <row r="14" spans="1:43" ht="15.6" thickTop="1" thickBot="1" x14ac:dyDescent="0.35">
      <c r="A14" s="42" t="s">
        <v>21</v>
      </c>
      <c r="B14" s="45">
        <v>4.8099999999999996</v>
      </c>
      <c r="C14" s="38">
        <v>2.97</v>
      </c>
      <c r="D14" s="38">
        <v>5.09</v>
      </c>
      <c r="E14" s="38">
        <v>5.85</v>
      </c>
      <c r="F14" s="38">
        <v>6.79</v>
      </c>
      <c r="G14" s="38">
        <v>6.58</v>
      </c>
      <c r="H14" s="38">
        <v>6.98</v>
      </c>
      <c r="I14" s="38">
        <v>7.53</v>
      </c>
      <c r="J14" s="38">
        <v>4.67</v>
      </c>
      <c r="K14" s="38">
        <v>4.57</v>
      </c>
      <c r="L14" s="38">
        <v>4.3099999999999996</v>
      </c>
      <c r="M14" s="38">
        <v>3.12</v>
      </c>
      <c r="N14" s="50">
        <f t="shared" si="0"/>
        <v>63.269999999999996</v>
      </c>
      <c r="O14" s="58"/>
      <c r="P14" s="62">
        <v>67290471</v>
      </c>
      <c r="Q14" s="64">
        <f t="shared" si="1"/>
        <v>3236671.6551000001</v>
      </c>
      <c r="R14" s="66">
        <f t="shared" si="2"/>
        <v>1998526.9887000001</v>
      </c>
      <c r="S14" s="66">
        <f t="shared" si="3"/>
        <v>3425084.9738999996</v>
      </c>
      <c r="T14" s="66">
        <f t="shared" si="4"/>
        <v>3936492.5534999995</v>
      </c>
      <c r="U14" s="66">
        <f t="shared" si="5"/>
        <v>4569022.9808999998</v>
      </c>
      <c r="V14" s="66">
        <f t="shared" si="6"/>
        <v>4427712.9918</v>
      </c>
      <c r="W14" s="66">
        <f t="shared" si="7"/>
        <v>4696874.8758000005</v>
      </c>
      <c r="X14" s="66">
        <f t="shared" si="8"/>
        <v>5066972.4662999995</v>
      </c>
      <c r="Y14" s="66">
        <f t="shared" si="9"/>
        <v>3142464.9956999999</v>
      </c>
      <c r="Z14" s="66">
        <f t="shared" si="10"/>
        <v>3075174.5247000004</v>
      </c>
      <c r="AA14" s="66">
        <f t="shared" si="11"/>
        <v>2900219.3001000001</v>
      </c>
      <c r="AB14" s="66">
        <f t="shared" si="12"/>
        <v>2099462.6952</v>
      </c>
      <c r="AC14" s="62">
        <f>67290471/100000</f>
        <v>672.90471000000002</v>
      </c>
      <c r="AD14" s="91">
        <f t="shared" si="25"/>
        <v>4810</v>
      </c>
      <c r="AE14" s="90">
        <f t="shared" si="13"/>
        <v>2970</v>
      </c>
      <c r="AF14" s="90">
        <f t="shared" si="14"/>
        <v>5089.9999999999991</v>
      </c>
      <c r="AG14" s="90">
        <f t="shared" si="15"/>
        <v>5849.9999999999991</v>
      </c>
      <c r="AH14" s="90">
        <f t="shared" si="16"/>
        <v>6790</v>
      </c>
      <c r="AI14" s="90">
        <f t="shared" si="17"/>
        <v>6580</v>
      </c>
      <c r="AJ14" s="90">
        <f t="shared" si="18"/>
        <v>6980.0000000000009</v>
      </c>
      <c r="AK14" s="90">
        <f t="shared" si="19"/>
        <v>7529.9999999999991</v>
      </c>
      <c r="AL14" s="90">
        <f t="shared" si="20"/>
        <v>4670</v>
      </c>
      <c r="AM14" s="90">
        <f t="shared" si="21"/>
        <v>4570.0000000000009</v>
      </c>
      <c r="AN14" s="90">
        <f t="shared" si="22"/>
        <v>4310</v>
      </c>
      <c r="AO14" s="90">
        <f t="shared" si="23"/>
        <v>3120</v>
      </c>
      <c r="AQ14" s="53">
        <f t="shared" si="24"/>
        <v>5272.5</v>
      </c>
    </row>
    <row r="15" spans="1:43" ht="15.6" thickTop="1" thickBot="1" x14ac:dyDescent="0.35">
      <c r="A15" s="42" t="s">
        <v>16</v>
      </c>
      <c r="B15" s="44">
        <v>0.56000000000000005</v>
      </c>
      <c r="C15" s="39">
        <v>1.05</v>
      </c>
      <c r="D15" s="41">
        <v>1</v>
      </c>
      <c r="E15" s="39">
        <v>1.28</v>
      </c>
      <c r="F15" s="39">
        <v>1.56</v>
      </c>
      <c r="G15" s="39">
        <v>0.65</v>
      </c>
      <c r="H15" s="39">
        <v>0.99</v>
      </c>
      <c r="I15" s="39">
        <v>1.18</v>
      </c>
      <c r="J15" s="39">
        <v>1.1399999999999999</v>
      </c>
      <c r="K15" s="39">
        <v>0.86</v>
      </c>
      <c r="L15" s="39">
        <v>0.77</v>
      </c>
      <c r="M15" s="39">
        <v>0.41</v>
      </c>
      <c r="N15" s="50">
        <f t="shared" si="0"/>
        <v>11.450000000000001</v>
      </c>
      <c r="O15" s="58"/>
      <c r="P15" s="62">
        <v>83019213</v>
      </c>
      <c r="Q15" s="64">
        <f t="shared" si="1"/>
        <v>464907.59279999998</v>
      </c>
      <c r="R15" s="66">
        <f t="shared" si="2"/>
        <v>871701.73650000012</v>
      </c>
      <c r="S15" s="66">
        <f t="shared" si="3"/>
        <v>830192.13</v>
      </c>
      <c r="T15" s="66">
        <f t="shared" si="4"/>
        <v>1062645.9264</v>
      </c>
      <c r="U15" s="66">
        <f t="shared" si="5"/>
        <v>1295099.7228000001</v>
      </c>
      <c r="V15" s="66">
        <f t="shared" si="6"/>
        <v>539624.88450000004</v>
      </c>
      <c r="W15" s="66">
        <f t="shared" si="7"/>
        <v>821890.20870000008</v>
      </c>
      <c r="X15" s="66">
        <f t="shared" si="8"/>
        <v>979626.71339999989</v>
      </c>
      <c r="Y15" s="66">
        <f t="shared" si="9"/>
        <v>946419.02819999994</v>
      </c>
      <c r="Z15" s="66">
        <f t="shared" si="10"/>
        <v>713965.23179999995</v>
      </c>
      <c r="AA15" s="66">
        <f t="shared" si="11"/>
        <v>639247.94010000001</v>
      </c>
      <c r="AB15" s="66">
        <f t="shared" si="12"/>
        <v>340378.7733</v>
      </c>
      <c r="AC15" s="62">
        <f>83019213/100000</f>
        <v>830.19213000000002</v>
      </c>
      <c r="AD15" s="91">
        <f t="shared" si="25"/>
        <v>560</v>
      </c>
      <c r="AE15" s="90">
        <f t="shared" si="13"/>
        <v>1050</v>
      </c>
      <c r="AF15" s="90">
        <f t="shared" si="14"/>
        <v>1000</v>
      </c>
      <c r="AG15" s="90">
        <f t="shared" si="15"/>
        <v>1280</v>
      </c>
      <c r="AH15" s="90">
        <f t="shared" si="16"/>
        <v>1560</v>
      </c>
      <c r="AI15" s="90">
        <f t="shared" si="17"/>
        <v>650</v>
      </c>
      <c r="AJ15" s="90">
        <f t="shared" si="18"/>
        <v>990.00000000000011</v>
      </c>
      <c r="AK15" s="90">
        <f t="shared" si="19"/>
        <v>1179.9999999999998</v>
      </c>
      <c r="AL15" s="90">
        <f t="shared" si="20"/>
        <v>1140</v>
      </c>
      <c r="AM15" s="90">
        <f t="shared" si="21"/>
        <v>859.99999999999989</v>
      </c>
      <c r="AN15" s="90">
        <f t="shared" si="22"/>
        <v>770</v>
      </c>
      <c r="AO15" s="90">
        <f t="shared" si="23"/>
        <v>410</v>
      </c>
      <c r="AQ15" s="53">
        <f t="shared" si="24"/>
        <v>954.16666666666663</v>
      </c>
    </row>
    <row r="16" spans="1:43" ht="15.6" thickTop="1" thickBot="1" x14ac:dyDescent="0.35">
      <c r="A16" s="42" t="s">
        <v>19</v>
      </c>
      <c r="B16" s="45">
        <v>0.95</v>
      </c>
      <c r="C16" s="38">
        <v>0.66</v>
      </c>
      <c r="D16" s="38">
        <v>0.41</v>
      </c>
      <c r="E16" s="38">
        <v>0.74</v>
      </c>
      <c r="F16" s="38">
        <v>1.57</v>
      </c>
      <c r="G16" s="38">
        <v>0.47</v>
      </c>
      <c r="H16" s="38">
        <v>0.73</v>
      </c>
      <c r="I16" s="38">
        <v>0.39</v>
      </c>
      <c r="J16" s="38">
        <v>0.44</v>
      </c>
      <c r="K16" s="38">
        <v>0.23</v>
      </c>
      <c r="L16" s="38">
        <v>0.43</v>
      </c>
      <c r="M16" s="36">
        <v>0</v>
      </c>
      <c r="N16" s="50">
        <f t="shared" si="0"/>
        <v>7.02</v>
      </c>
      <c r="O16" s="58"/>
      <c r="P16" s="62">
        <v>10724599</v>
      </c>
      <c r="Q16" s="64">
        <f t="shared" si="1"/>
        <v>101883.69049999998</v>
      </c>
      <c r="R16" s="66">
        <f t="shared" si="2"/>
        <v>70782.353400000007</v>
      </c>
      <c r="S16" s="66">
        <f t="shared" si="3"/>
        <v>43970.855899999995</v>
      </c>
      <c r="T16" s="66">
        <f t="shared" si="4"/>
        <v>79362.032599999991</v>
      </c>
      <c r="U16" s="66">
        <f t="shared" si="5"/>
        <v>168376.20429999998</v>
      </c>
      <c r="V16" s="66">
        <f t="shared" si="6"/>
        <v>50405.61529999999</v>
      </c>
      <c r="W16" s="66">
        <f t="shared" si="7"/>
        <v>78289.57269999999</v>
      </c>
      <c r="X16" s="66">
        <f t="shared" si="8"/>
        <v>41825.936100000006</v>
      </c>
      <c r="Y16" s="66">
        <f t="shared" si="9"/>
        <v>47188.235599999993</v>
      </c>
      <c r="Z16" s="66">
        <f t="shared" si="10"/>
        <v>24666.577700000002</v>
      </c>
      <c r="AA16" s="66">
        <f t="shared" si="11"/>
        <v>46115.775700000006</v>
      </c>
      <c r="AB16" s="66"/>
      <c r="AC16" s="62">
        <f>10724599/100000</f>
        <v>107.24599000000001</v>
      </c>
      <c r="AD16" s="91">
        <f t="shared" si="25"/>
        <v>949.99999999999977</v>
      </c>
      <c r="AE16" s="90">
        <f t="shared" si="13"/>
        <v>660</v>
      </c>
      <c r="AF16" s="90">
        <f t="shared" si="14"/>
        <v>409.99999999999994</v>
      </c>
      <c r="AG16" s="90">
        <f t="shared" si="15"/>
        <v>739.99999999999989</v>
      </c>
      <c r="AH16" s="90">
        <f t="shared" si="16"/>
        <v>1569.9999999999998</v>
      </c>
      <c r="AI16" s="90">
        <f t="shared" si="17"/>
        <v>469.99999999999989</v>
      </c>
      <c r="AJ16" s="90">
        <f t="shared" si="18"/>
        <v>729.99999999999989</v>
      </c>
      <c r="AK16" s="90">
        <f t="shared" si="19"/>
        <v>390.00000000000006</v>
      </c>
      <c r="AL16" s="90">
        <f t="shared" si="20"/>
        <v>439.99999999999989</v>
      </c>
      <c r="AM16" s="90">
        <f t="shared" si="21"/>
        <v>230</v>
      </c>
      <c r="AN16" s="90">
        <f t="shared" si="22"/>
        <v>430</v>
      </c>
      <c r="AO16" s="98">
        <v>1052.7586206896551</v>
      </c>
      <c r="AQ16" s="53">
        <f t="shared" si="24"/>
        <v>672.72988505747117</v>
      </c>
    </row>
    <row r="17" spans="1:43" ht="15.6" thickTop="1" thickBot="1" x14ac:dyDescent="0.35">
      <c r="A17" s="42" t="s">
        <v>28</v>
      </c>
      <c r="B17" s="44">
        <v>6.53</v>
      </c>
      <c r="C17" s="39">
        <v>8.26</v>
      </c>
      <c r="D17" s="41">
        <v>9.9</v>
      </c>
      <c r="E17" s="39">
        <v>3.85</v>
      </c>
      <c r="F17" s="39">
        <v>5.38</v>
      </c>
      <c r="G17" s="39">
        <v>5.87</v>
      </c>
      <c r="H17" s="39">
        <v>6.79</v>
      </c>
      <c r="I17" s="39">
        <v>3.33</v>
      </c>
      <c r="J17" s="39">
        <v>2.4300000000000002</v>
      </c>
      <c r="K17" s="39">
        <v>2.94</v>
      </c>
      <c r="L17" s="39">
        <v>1.82</v>
      </c>
      <c r="M17" s="39">
        <v>1.65</v>
      </c>
      <c r="N17" s="50">
        <f t="shared" si="0"/>
        <v>58.749999999999993</v>
      </c>
      <c r="O17" s="58"/>
      <c r="P17" s="62">
        <v>9772756</v>
      </c>
      <c r="Q17" s="64">
        <f t="shared" si="1"/>
        <v>638160.96680000005</v>
      </c>
      <c r="R17" s="66">
        <f t="shared" si="2"/>
        <v>807229.64560000005</v>
      </c>
      <c r="S17" s="66">
        <f t="shared" si="3"/>
        <v>967502.84400000004</v>
      </c>
      <c r="T17" s="66">
        <f t="shared" si="4"/>
        <v>376251.10600000003</v>
      </c>
      <c r="U17" s="66">
        <f t="shared" si="5"/>
        <v>525774.27280000004</v>
      </c>
      <c r="V17" s="66">
        <f t="shared" si="6"/>
        <v>573660.77720000001</v>
      </c>
      <c r="W17" s="66">
        <f t="shared" si="7"/>
        <v>663570.1324</v>
      </c>
      <c r="X17" s="66">
        <f t="shared" si="8"/>
        <v>325432.77480000001</v>
      </c>
      <c r="Y17" s="66">
        <f t="shared" si="9"/>
        <v>237477.97080000001</v>
      </c>
      <c r="Z17" s="66">
        <f t="shared" si="10"/>
        <v>287319.02640000003</v>
      </c>
      <c r="AA17" s="66">
        <f t="shared" si="11"/>
        <v>177864.15920000002</v>
      </c>
      <c r="AB17" s="66">
        <f t="shared" si="12"/>
        <v>161250.47399999999</v>
      </c>
      <c r="AC17" s="62">
        <f>9772756/100000</f>
        <v>97.727559999999997</v>
      </c>
      <c r="AD17" s="91">
        <f t="shared" si="25"/>
        <v>6530.0000000000009</v>
      </c>
      <c r="AE17" s="90">
        <f t="shared" si="13"/>
        <v>8260</v>
      </c>
      <c r="AF17" s="90">
        <f t="shared" si="14"/>
        <v>9900</v>
      </c>
      <c r="AG17" s="90">
        <f t="shared" si="15"/>
        <v>3850.0000000000005</v>
      </c>
      <c r="AH17" s="90">
        <f t="shared" si="16"/>
        <v>5380.0000000000009</v>
      </c>
      <c r="AI17" s="90">
        <f t="shared" si="17"/>
        <v>5870</v>
      </c>
      <c r="AJ17" s="90">
        <f t="shared" si="18"/>
        <v>6790</v>
      </c>
      <c r="AK17" s="90">
        <f t="shared" si="19"/>
        <v>3330.0000000000005</v>
      </c>
      <c r="AL17" s="90">
        <f t="shared" si="20"/>
        <v>2430</v>
      </c>
      <c r="AM17" s="90">
        <f t="shared" si="21"/>
        <v>2940.0000000000005</v>
      </c>
      <c r="AN17" s="90">
        <f t="shared" si="22"/>
        <v>1820.0000000000002</v>
      </c>
      <c r="AO17" s="90">
        <f t="shared" si="23"/>
        <v>1650</v>
      </c>
      <c r="AQ17" s="53">
        <f t="shared" si="24"/>
        <v>4895.833333333333</v>
      </c>
    </row>
    <row r="18" spans="1:43" ht="15.6" thickTop="1" thickBot="1" x14ac:dyDescent="0.35">
      <c r="A18" s="42" t="s">
        <v>39</v>
      </c>
      <c r="B18" s="45">
        <v>5.83</v>
      </c>
      <c r="C18" s="38">
        <v>3.87</v>
      </c>
      <c r="D18" s="38">
        <v>6.13</v>
      </c>
      <c r="E18" s="38">
        <v>4.42</v>
      </c>
      <c r="F18" s="40">
        <v>6.5</v>
      </c>
      <c r="G18" s="38">
        <v>6.37</v>
      </c>
      <c r="H18" s="38">
        <v>5.29</v>
      </c>
      <c r="I18" s="40">
        <v>7.5</v>
      </c>
      <c r="J18" s="38">
        <v>5.65</v>
      </c>
      <c r="K18" s="40">
        <v>3.2</v>
      </c>
      <c r="L18" s="38">
        <v>4.82</v>
      </c>
      <c r="M18" s="38">
        <v>3.93</v>
      </c>
      <c r="N18" s="50">
        <f t="shared" si="0"/>
        <v>63.51</v>
      </c>
      <c r="O18" s="58"/>
      <c r="P18" s="62">
        <v>356991</v>
      </c>
      <c r="Q18" s="64">
        <f t="shared" si="1"/>
        <v>20812.5753</v>
      </c>
      <c r="R18" s="66">
        <f t="shared" si="2"/>
        <v>13815.5517</v>
      </c>
      <c r="S18" s="66">
        <f t="shared" si="3"/>
        <v>21883.548300000002</v>
      </c>
      <c r="T18" s="66">
        <f t="shared" si="4"/>
        <v>15779.002199999999</v>
      </c>
      <c r="U18" s="66">
        <f t="shared" si="5"/>
        <v>23204.415000000001</v>
      </c>
      <c r="V18" s="66">
        <f t="shared" si="6"/>
        <v>22740.326699999998</v>
      </c>
      <c r="W18" s="66">
        <f t="shared" si="7"/>
        <v>18884.823899999999</v>
      </c>
      <c r="X18" s="66">
        <f t="shared" si="8"/>
        <v>26774.325000000001</v>
      </c>
      <c r="Y18" s="66">
        <f t="shared" si="9"/>
        <v>20169.9915</v>
      </c>
      <c r="Z18" s="66">
        <f t="shared" si="10"/>
        <v>11423.712</v>
      </c>
      <c r="AA18" s="66">
        <f t="shared" si="11"/>
        <v>17206.966200000003</v>
      </c>
      <c r="AB18" s="66">
        <f t="shared" si="12"/>
        <v>14029.746300000001</v>
      </c>
      <c r="AC18" s="62">
        <f>356991/100000</f>
        <v>3.5699100000000001</v>
      </c>
      <c r="AD18" s="91">
        <f t="shared" si="25"/>
        <v>5830</v>
      </c>
      <c r="AE18" s="90">
        <f t="shared" si="13"/>
        <v>3870</v>
      </c>
      <c r="AF18" s="90">
        <f t="shared" si="14"/>
        <v>6130</v>
      </c>
      <c r="AG18" s="90">
        <f t="shared" si="15"/>
        <v>4420</v>
      </c>
      <c r="AH18" s="90">
        <f t="shared" si="16"/>
        <v>6500</v>
      </c>
      <c r="AI18" s="90">
        <f t="shared" si="17"/>
        <v>6369.9999999999991</v>
      </c>
      <c r="AJ18" s="90">
        <f t="shared" si="18"/>
        <v>5290</v>
      </c>
      <c r="AK18" s="90">
        <f t="shared" si="19"/>
        <v>7500</v>
      </c>
      <c r="AL18" s="90">
        <f t="shared" si="20"/>
        <v>5650</v>
      </c>
      <c r="AM18" s="90">
        <f t="shared" si="21"/>
        <v>3199.9999999999995</v>
      </c>
      <c r="AN18" s="90">
        <f t="shared" si="22"/>
        <v>4820.0000000000009</v>
      </c>
      <c r="AO18" s="90">
        <f t="shared" si="23"/>
        <v>3930</v>
      </c>
      <c r="AQ18" s="53">
        <f t="shared" si="24"/>
        <v>5292.5</v>
      </c>
    </row>
    <row r="19" spans="1:43" ht="15.6" thickTop="1" thickBot="1" x14ac:dyDescent="0.35">
      <c r="A19" s="42" t="s">
        <v>18</v>
      </c>
      <c r="B19" s="44">
        <v>0.47</v>
      </c>
      <c r="C19" s="37">
        <v>0</v>
      </c>
      <c r="D19" s="37">
        <v>0</v>
      </c>
      <c r="E19" s="39">
        <v>0.28999999999999998</v>
      </c>
      <c r="F19" s="39">
        <v>0.23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50">
        <f t="shared" si="0"/>
        <v>0.99</v>
      </c>
      <c r="O19" s="58"/>
      <c r="P19" s="62">
        <v>4904240</v>
      </c>
      <c r="Q19" s="64">
        <f t="shared" si="1"/>
        <v>23049.928</v>
      </c>
      <c r="R19" s="66"/>
      <c r="S19" s="66"/>
      <c r="T19" s="66">
        <f t="shared" si="4"/>
        <v>14222.295999999998</v>
      </c>
      <c r="U19" s="66">
        <f t="shared" si="5"/>
        <v>11279.752</v>
      </c>
      <c r="V19" s="66"/>
      <c r="W19" s="66"/>
      <c r="X19" s="66"/>
      <c r="Y19" s="66"/>
      <c r="Z19" s="66"/>
      <c r="AA19" s="66"/>
      <c r="AB19" s="66"/>
      <c r="AC19" s="62">
        <f>4904240/100000</f>
        <v>49.042400000000001</v>
      </c>
      <c r="AD19" s="91">
        <f t="shared" si="25"/>
        <v>470</v>
      </c>
      <c r="AE19" s="98">
        <v>2285.3333333333335</v>
      </c>
      <c r="AF19" s="97">
        <v>2794.848484848485</v>
      </c>
      <c r="AG19" s="90">
        <f t="shared" si="15"/>
        <v>289.99999999999994</v>
      </c>
      <c r="AH19" s="90">
        <f t="shared" si="16"/>
        <v>230</v>
      </c>
      <c r="AI19" s="97">
        <v>2661.7647058823532</v>
      </c>
      <c r="AJ19" s="98">
        <v>2769.7222222222222</v>
      </c>
      <c r="AK19" s="98">
        <v>2688.2352941176468</v>
      </c>
      <c r="AL19" s="98">
        <v>2193.6363636363635</v>
      </c>
      <c r="AM19" s="98">
        <v>1295.5555555555557</v>
      </c>
      <c r="AN19" s="98">
        <v>1714.375</v>
      </c>
      <c r="AO19" s="98">
        <v>1052.7586206896551</v>
      </c>
      <c r="AQ19" s="53">
        <f t="shared" si="24"/>
        <v>1703.8524650238014</v>
      </c>
    </row>
    <row r="20" spans="1:43" ht="15.6" thickTop="1" thickBot="1" x14ac:dyDescent="0.35">
      <c r="A20" s="42" t="s">
        <v>23</v>
      </c>
      <c r="B20" s="45">
        <v>1.93</v>
      </c>
      <c r="C20" s="38">
        <v>2.15</v>
      </c>
      <c r="D20" s="38">
        <v>2.52</v>
      </c>
      <c r="E20" s="38">
        <v>2.35</v>
      </c>
      <c r="F20" s="38">
        <v>2.89</v>
      </c>
      <c r="G20" s="40">
        <v>2.2000000000000002</v>
      </c>
      <c r="H20" s="38">
        <v>2.34</v>
      </c>
      <c r="I20" s="40">
        <v>1.7</v>
      </c>
      <c r="J20" s="38">
        <v>1.65</v>
      </c>
      <c r="K20" s="38">
        <v>1.05</v>
      </c>
      <c r="L20" s="38">
        <v>1.35</v>
      </c>
      <c r="M20" s="38">
        <v>0.54</v>
      </c>
      <c r="N20" s="50">
        <f t="shared" si="0"/>
        <v>22.669999999999998</v>
      </c>
      <c r="O20" s="58"/>
      <c r="P20" s="62">
        <v>59816673</v>
      </c>
      <c r="Q20" s="64">
        <f t="shared" si="1"/>
        <v>1154461.7889</v>
      </c>
      <c r="R20" s="66">
        <f t="shared" si="2"/>
        <v>1286058.4694999999</v>
      </c>
      <c r="S20" s="66">
        <f t="shared" si="3"/>
        <v>1507380.1596000001</v>
      </c>
      <c r="T20" s="66">
        <f t="shared" si="4"/>
        <v>1405691.8155</v>
      </c>
      <c r="U20" s="66">
        <f t="shared" si="5"/>
        <v>1728701.8496999999</v>
      </c>
      <c r="V20" s="66">
        <f t="shared" si="6"/>
        <v>1315966.8060000001</v>
      </c>
      <c r="W20" s="66">
        <f t="shared" si="7"/>
        <v>1399710.1481999999</v>
      </c>
      <c r="X20" s="66">
        <f t="shared" si="8"/>
        <v>1016883.441</v>
      </c>
      <c r="Y20" s="66">
        <f t="shared" si="9"/>
        <v>986975.1044999999</v>
      </c>
      <c r="Z20" s="66">
        <f t="shared" si="10"/>
        <v>628075.06650000007</v>
      </c>
      <c r="AA20" s="66">
        <f t="shared" si="11"/>
        <v>807525.08550000016</v>
      </c>
      <c r="AB20" s="66">
        <f t="shared" si="12"/>
        <v>323010.03419999999</v>
      </c>
      <c r="AC20" s="62">
        <f>59816673/100000</f>
        <v>598.16673000000003</v>
      </c>
      <c r="AD20" s="91">
        <f t="shared" si="25"/>
        <v>1930</v>
      </c>
      <c r="AE20" s="90">
        <f t="shared" si="13"/>
        <v>2149.9999999999995</v>
      </c>
      <c r="AF20" s="90">
        <f t="shared" si="14"/>
        <v>2520</v>
      </c>
      <c r="AG20" s="90">
        <f t="shared" si="15"/>
        <v>2350</v>
      </c>
      <c r="AH20" s="90">
        <f t="shared" si="16"/>
        <v>2889.9999999999995</v>
      </c>
      <c r="AI20" s="90">
        <f t="shared" si="17"/>
        <v>2200</v>
      </c>
      <c r="AJ20" s="90">
        <f t="shared" si="18"/>
        <v>2340</v>
      </c>
      <c r="AK20" s="90">
        <f t="shared" si="19"/>
        <v>1700</v>
      </c>
      <c r="AL20" s="90">
        <f t="shared" si="20"/>
        <v>1649.9999999999998</v>
      </c>
      <c r="AM20" s="90">
        <f t="shared" si="21"/>
        <v>1050</v>
      </c>
      <c r="AN20" s="90">
        <f t="shared" si="22"/>
        <v>1350.0000000000002</v>
      </c>
      <c r="AO20" s="90">
        <f t="shared" si="23"/>
        <v>540</v>
      </c>
      <c r="AQ20" s="53">
        <f t="shared" si="24"/>
        <v>1889.1666666666667</v>
      </c>
    </row>
    <row r="21" spans="1:43" ht="15.6" thickTop="1" thickBot="1" x14ac:dyDescent="0.35">
      <c r="A21" s="42" t="s">
        <v>49</v>
      </c>
      <c r="B21" s="45">
        <v>1.17</v>
      </c>
      <c r="C21" s="38">
        <v>0.62</v>
      </c>
      <c r="D21" s="36">
        <v>0</v>
      </c>
      <c r="E21" s="38">
        <v>0.45</v>
      </c>
      <c r="F21" s="38">
        <v>0.27</v>
      </c>
      <c r="G21" s="38">
        <v>0.18</v>
      </c>
      <c r="H21" s="38">
        <v>0.61</v>
      </c>
      <c r="I21" s="38">
        <v>0.34</v>
      </c>
      <c r="J21" s="38">
        <v>0.19</v>
      </c>
      <c r="K21" s="38">
        <v>0.61</v>
      </c>
      <c r="L21" s="38">
        <v>0.87</v>
      </c>
      <c r="M21" s="38">
        <v>0.25</v>
      </c>
      <c r="N21" s="50">
        <f t="shared" si="0"/>
        <v>5.5600000000000005</v>
      </c>
      <c r="O21" s="58"/>
      <c r="P21" s="62">
        <v>1795666</v>
      </c>
      <c r="Q21" s="64">
        <f t="shared" si="1"/>
        <v>21009.292199999996</v>
      </c>
      <c r="R21" s="66">
        <f t="shared" si="2"/>
        <v>11133.129199999999</v>
      </c>
      <c r="S21" s="66"/>
      <c r="T21" s="66">
        <f t="shared" si="4"/>
        <v>8080.4970000000003</v>
      </c>
      <c r="U21" s="66">
        <f t="shared" si="5"/>
        <v>4848.2982000000002</v>
      </c>
      <c r="V21" s="66">
        <f t="shared" si="6"/>
        <v>3232.1988000000001</v>
      </c>
      <c r="W21" s="66">
        <f t="shared" si="7"/>
        <v>10953.562599999999</v>
      </c>
      <c r="X21" s="66">
        <f t="shared" si="8"/>
        <v>6105.2644000000009</v>
      </c>
      <c r="Y21" s="66">
        <f t="shared" si="9"/>
        <v>3411.7653999999998</v>
      </c>
      <c r="Z21" s="66">
        <f t="shared" si="10"/>
        <v>10953.562599999999</v>
      </c>
      <c r="AA21" s="66">
        <f t="shared" si="11"/>
        <v>15622.294199999998</v>
      </c>
      <c r="AB21" s="66">
        <f t="shared" si="12"/>
        <v>4489.165</v>
      </c>
      <c r="AC21" s="62">
        <f>1795666/100000</f>
        <v>17.956659999999999</v>
      </c>
      <c r="AD21" s="91">
        <f t="shared" si="25"/>
        <v>1169.9999999999998</v>
      </c>
      <c r="AE21" s="90">
        <f t="shared" si="13"/>
        <v>620</v>
      </c>
      <c r="AF21" s="97">
        <v>2794.848484848485</v>
      </c>
      <c r="AG21" s="90">
        <f t="shared" si="15"/>
        <v>450.00000000000006</v>
      </c>
      <c r="AH21" s="90">
        <f t="shared" si="16"/>
        <v>270</v>
      </c>
      <c r="AI21" s="90">
        <f t="shared" si="17"/>
        <v>180</v>
      </c>
      <c r="AJ21" s="90">
        <f t="shared" si="18"/>
        <v>610</v>
      </c>
      <c r="AK21" s="90">
        <f t="shared" si="19"/>
        <v>340.00000000000006</v>
      </c>
      <c r="AL21" s="90">
        <f t="shared" si="20"/>
        <v>190</v>
      </c>
      <c r="AM21" s="90">
        <f t="shared" si="21"/>
        <v>610</v>
      </c>
      <c r="AN21" s="90">
        <f t="shared" si="22"/>
        <v>869.99999999999989</v>
      </c>
      <c r="AO21" s="90">
        <f t="shared" si="23"/>
        <v>250</v>
      </c>
      <c r="AQ21" s="53">
        <f t="shared" si="24"/>
        <v>696.23737373737367</v>
      </c>
    </row>
    <row r="22" spans="1:43" ht="15.6" thickTop="1" thickBot="1" x14ac:dyDescent="0.35">
      <c r="A22" s="42" t="s">
        <v>25</v>
      </c>
      <c r="B22" s="45">
        <v>0.86</v>
      </c>
      <c r="C22" s="38">
        <v>0.84</v>
      </c>
      <c r="D22" s="38">
        <v>1.89</v>
      </c>
      <c r="E22" s="38">
        <v>2.84</v>
      </c>
      <c r="F22" s="38">
        <v>0.46</v>
      </c>
      <c r="G22" s="38">
        <v>1.33</v>
      </c>
      <c r="H22" s="38">
        <v>1.05</v>
      </c>
      <c r="I22" s="38">
        <v>0.98</v>
      </c>
      <c r="J22" s="38">
        <v>0.81</v>
      </c>
      <c r="K22" s="38">
        <v>0.34</v>
      </c>
      <c r="L22" s="36">
        <v>0</v>
      </c>
      <c r="M22" s="36">
        <v>0</v>
      </c>
      <c r="N22" s="50">
        <f t="shared" si="0"/>
        <v>11.4</v>
      </c>
      <c r="O22" s="58"/>
      <c r="P22" s="62">
        <v>1919968</v>
      </c>
      <c r="Q22" s="64">
        <f t="shared" si="1"/>
        <v>16511.7248</v>
      </c>
      <c r="R22" s="66">
        <f t="shared" si="2"/>
        <v>16127.731199999998</v>
      </c>
      <c r="S22" s="66">
        <f t="shared" si="3"/>
        <v>36287.395199999999</v>
      </c>
      <c r="T22" s="66">
        <f t="shared" si="4"/>
        <v>54527.091200000003</v>
      </c>
      <c r="U22" s="66">
        <f t="shared" si="5"/>
        <v>8831.8528000000006</v>
      </c>
      <c r="V22" s="66">
        <f t="shared" si="6"/>
        <v>25535.574399999998</v>
      </c>
      <c r="W22" s="66">
        <f t="shared" si="7"/>
        <v>20159.664000000001</v>
      </c>
      <c r="X22" s="66">
        <f t="shared" si="8"/>
        <v>18815.686399999999</v>
      </c>
      <c r="Y22" s="66">
        <f t="shared" si="9"/>
        <v>15551.740800000001</v>
      </c>
      <c r="Z22" s="66">
        <f t="shared" si="10"/>
        <v>6527.8912</v>
      </c>
      <c r="AA22" s="66"/>
      <c r="AB22" s="66"/>
      <c r="AC22" s="62">
        <f>1919968/100000</f>
        <v>19.199680000000001</v>
      </c>
      <c r="AD22" s="91">
        <f t="shared" si="25"/>
        <v>860</v>
      </c>
      <c r="AE22" s="90">
        <f t="shared" si="13"/>
        <v>839.99999999999989</v>
      </c>
      <c r="AF22" s="90">
        <f t="shared" si="14"/>
        <v>1889.9999999999998</v>
      </c>
      <c r="AG22" s="90">
        <f t="shared" si="15"/>
        <v>2840</v>
      </c>
      <c r="AH22" s="90">
        <f t="shared" si="16"/>
        <v>460</v>
      </c>
      <c r="AI22" s="90">
        <f t="shared" si="17"/>
        <v>1329.9999999999998</v>
      </c>
      <c r="AJ22" s="90">
        <f t="shared" si="18"/>
        <v>1050</v>
      </c>
      <c r="AK22" s="90">
        <f t="shared" si="19"/>
        <v>979.99999999999989</v>
      </c>
      <c r="AL22" s="90">
        <f t="shared" si="20"/>
        <v>810</v>
      </c>
      <c r="AM22" s="90">
        <f t="shared" si="21"/>
        <v>340</v>
      </c>
      <c r="AN22" s="98">
        <v>1714.375</v>
      </c>
      <c r="AO22" s="98">
        <v>1052.7586206896551</v>
      </c>
      <c r="AQ22" s="53">
        <f t="shared" si="24"/>
        <v>1180.5944683908046</v>
      </c>
    </row>
    <row r="23" spans="1:43" ht="15.6" thickTop="1" thickBot="1" x14ac:dyDescent="0.35">
      <c r="A23" s="42" t="s">
        <v>26</v>
      </c>
      <c r="B23" s="48">
        <v>0</v>
      </c>
      <c r="C23" s="39">
        <v>0.62</v>
      </c>
      <c r="D23" s="39">
        <v>0.82</v>
      </c>
      <c r="E23" s="39">
        <v>0.45</v>
      </c>
      <c r="F23" s="39">
        <v>0.77</v>
      </c>
      <c r="G23" s="37">
        <v>0</v>
      </c>
      <c r="H23" s="39">
        <v>0.44</v>
      </c>
      <c r="I23" s="39">
        <v>0.43</v>
      </c>
      <c r="J23" s="37">
        <v>0</v>
      </c>
      <c r="K23" s="39">
        <v>0.22</v>
      </c>
      <c r="L23" s="41">
        <v>0.2</v>
      </c>
      <c r="M23" s="37">
        <v>0</v>
      </c>
      <c r="N23" s="50">
        <f t="shared" si="0"/>
        <v>3.9500000000000006</v>
      </c>
      <c r="O23" s="58"/>
      <c r="P23" s="62">
        <v>2794184</v>
      </c>
      <c r="Q23" s="64"/>
      <c r="R23" s="66">
        <f t="shared" si="2"/>
        <v>17323.9408</v>
      </c>
      <c r="S23" s="66">
        <f t="shared" si="3"/>
        <v>22912.308799999999</v>
      </c>
      <c r="T23" s="66">
        <f t="shared" si="4"/>
        <v>12573.828000000001</v>
      </c>
      <c r="U23" s="66">
        <f t="shared" si="5"/>
        <v>21515.216800000002</v>
      </c>
      <c r="V23" s="66"/>
      <c r="W23" s="66">
        <f t="shared" si="7"/>
        <v>12294.409599999999</v>
      </c>
      <c r="X23" s="66">
        <f t="shared" si="8"/>
        <v>12014.991199999999</v>
      </c>
      <c r="Y23" s="66"/>
      <c r="Z23" s="66">
        <f t="shared" si="10"/>
        <v>6147.2047999999995</v>
      </c>
      <c r="AA23" s="66">
        <f t="shared" si="11"/>
        <v>5588.3680000000004</v>
      </c>
      <c r="AB23" s="66"/>
      <c r="AC23" s="62">
        <f>2794184/100000</f>
        <v>27.941839999999999</v>
      </c>
      <c r="AD23" s="99">
        <v>2744.4117647058824</v>
      </c>
      <c r="AE23" s="90">
        <f t="shared" si="13"/>
        <v>620</v>
      </c>
      <c r="AF23" s="90">
        <f t="shared" si="14"/>
        <v>820</v>
      </c>
      <c r="AG23" s="90">
        <f t="shared" si="15"/>
        <v>450.00000000000006</v>
      </c>
      <c r="AH23" s="90">
        <f t="shared" si="16"/>
        <v>770.00000000000011</v>
      </c>
      <c r="AI23" s="97">
        <v>2661.7647058823532</v>
      </c>
      <c r="AJ23" s="90">
        <f t="shared" si="18"/>
        <v>440</v>
      </c>
      <c r="AK23" s="90">
        <f t="shared" si="19"/>
        <v>429.99999999999994</v>
      </c>
      <c r="AL23" s="98">
        <v>2193.6363636363635</v>
      </c>
      <c r="AM23" s="90">
        <f t="shared" si="21"/>
        <v>220</v>
      </c>
      <c r="AN23" s="90">
        <f t="shared" si="22"/>
        <v>200.00000000000003</v>
      </c>
      <c r="AO23" s="98">
        <v>1052.7586206896551</v>
      </c>
      <c r="AQ23" s="53">
        <f t="shared" si="24"/>
        <v>1050.2142879095213</v>
      </c>
    </row>
    <row r="24" spans="1:43" ht="15.6" thickTop="1" thickBot="1" x14ac:dyDescent="0.35">
      <c r="A24" s="42" t="s">
        <v>27</v>
      </c>
      <c r="B24" s="45">
        <v>2.66</v>
      </c>
      <c r="C24" s="38">
        <v>7.01</v>
      </c>
      <c r="D24" s="40">
        <v>3.4</v>
      </c>
      <c r="E24" s="40">
        <v>3.5</v>
      </c>
      <c r="F24" s="38">
        <v>4.22</v>
      </c>
      <c r="G24" s="38">
        <v>2.4300000000000002</v>
      </c>
      <c r="H24" s="38">
        <v>3.29</v>
      </c>
      <c r="I24" s="38">
        <v>1.85</v>
      </c>
      <c r="J24" s="38">
        <v>4.66</v>
      </c>
      <c r="K24" s="38">
        <v>0.31</v>
      </c>
      <c r="L24" s="38">
        <v>0.79</v>
      </c>
      <c r="M24" s="38">
        <v>2.0499999999999998</v>
      </c>
      <c r="N24" s="50">
        <f t="shared" si="0"/>
        <v>36.169999999999995</v>
      </c>
      <c r="O24" s="58"/>
      <c r="P24" s="62">
        <v>613894</v>
      </c>
      <c r="Q24" s="64">
        <f t="shared" si="1"/>
        <v>16329.580400000001</v>
      </c>
      <c r="R24" s="66">
        <f t="shared" si="2"/>
        <v>43033.969399999994</v>
      </c>
      <c r="S24" s="66">
        <f t="shared" si="3"/>
        <v>20872.395999999997</v>
      </c>
      <c r="T24" s="66">
        <f t="shared" si="4"/>
        <v>21486.29</v>
      </c>
      <c r="U24" s="66">
        <f t="shared" si="5"/>
        <v>25906.326799999995</v>
      </c>
      <c r="V24" s="66">
        <f t="shared" si="6"/>
        <v>14917.624200000002</v>
      </c>
      <c r="W24" s="66">
        <f t="shared" si="7"/>
        <v>20197.1126</v>
      </c>
      <c r="X24" s="66">
        <f t="shared" si="8"/>
        <v>11357.039000000001</v>
      </c>
      <c r="Y24" s="66">
        <f t="shared" si="9"/>
        <v>28607.4604</v>
      </c>
      <c r="Z24" s="66">
        <f t="shared" si="10"/>
        <v>1903.0713999999998</v>
      </c>
      <c r="AA24" s="66">
        <f t="shared" si="11"/>
        <v>4849.7626</v>
      </c>
      <c r="AB24" s="66">
        <f t="shared" si="12"/>
        <v>12584.826999999999</v>
      </c>
      <c r="AC24" s="62">
        <f>613894/100000</f>
        <v>6.1389399999999998</v>
      </c>
      <c r="AD24" s="91">
        <f t="shared" si="25"/>
        <v>2660</v>
      </c>
      <c r="AE24" s="90">
        <f t="shared" si="13"/>
        <v>7009.9999999999991</v>
      </c>
      <c r="AF24" s="90">
        <f t="shared" si="14"/>
        <v>3399.9999999999995</v>
      </c>
      <c r="AG24" s="90">
        <f t="shared" si="15"/>
        <v>3500.0000000000005</v>
      </c>
      <c r="AH24" s="90">
        <f t="shared" si="16"/>
        <v>4219.9999999999991</v>
      </c>
      <c r="AI24" s="90">
        <f t="shared" si="17"/>
        <v>2430.0000000000005</v>
      </c>
      <c r="AJ24" s="90">
        <f t="shared" si="18"/>
        <v>3290</v>
      </c>
      <c r="AK24" s="90">
        <f t="shared" si="19"/>
        <v>1850.0000000000002</v>
      </c>
      <c r="AL24" s="90">
        <f t="shared" si="20"/>
        <v>4660</v>
      </c>
      <c r="AM24" s="90">
        <f t="shared" si="21"/>
        <v>310</v>
      </c>
      <c r="AN24" s="90">
        <f t="shared" si="22"/>
        <v>790</v>
      </c>
      <c r="AO24" s="90">
        <f t="shared" si="23"/>
        <v>2050</v>
      </c>
      <c r="AQ24" s="53">
        <f t="shared" si="24"/>
        <v>3014.1666666666665</v>
      </c>
    </row>
    <row r="25" spans="1:43" ht="15.6" thickTop="1" thickBot="1" x14ac:dyDescent="0.35">
      <c r="A25" s="42" t="s">
        <v>29</v>
      </c>
      <c r="B25" s="45">
        <v>12.56</v>
      </c>
      <c r="C25" s="36">
        <v>0</v>
      </c>
      <c r="D25" s="38">
        <v>2.3199999999999998</v>
      </c>
      <c r="E25" s="38">
        <v>4.45</v>
      </c>
      <c r="F25" s="40">
        <v>3.5</v>
      </c>
      <c r="G25" s="38">
        <v>9.0399999999999991</v>
      </c>
      <c r="H25" s="38">
        <v>5.46</v>
      </c>
      <c r="I25" s="38">
        <v>8.59</v>
      </c>
      <c r="J25" s="38">
        <v>3.28</v>
      </c>
      <c r="K25" s="38">
        <v>3.35</v>
      </c>
      <c r="L25" s="36">
        <v>0</v>
      </c>
      <c r="M25" s="38">
        <v>0.99</v>
      </c>
      <c r="N25" s="50">
        <f t="shared" si="0"/>
        <v>53.540000000000006</v>
      </c>
      <c r="O25" s="58"/>
      <c r="P25" s="62">
        <v>493559</v>
      </c>
      <c r="Q25" s="64">
        <f t="shared" si="1"/>
        <v>61991.010399999999</v>
      </c>
      <c r="R25" s="66"/>
      <c r="S25" s="66">
        <f t="shared" si="3"/>
        <v>11450.568799999999</v>
      </c>
      <c r="T25" s="66">
        <f t="shared" si="4"/>
        <v>21963.375500000002</v>
      </c>
      <c r="U25" s="66">
        <f t="shared" si="5"/>
        <v>17274.564999999999</v>
      </c>
      <c r="V25" s="66">
        <f t="shared" si="6"/>
        <v>44617.733599999992</v>
      </c>
      <c r="W25" s="66">
        <f t="shared" si="7"/>
        <v>26948.321400000001</v>
      </c>
      <c r="X25" s="66">
        <f t="shared" si="8"/>
        <v>42396.718099999998</v>
      </c>
      <c r="Y25" s="66">
        <f t="shared" si="9"/>
        <v>16188.735200000001</v>
      </c>
      <c r="Z25" s="66">
        <f t="shared" si="10"/>
        <v>16534.226500000001</v>
      </c>
      <c r="AA25" s="66"/>
      <c r="AB25" s="66">
        <f t="shared" si="12"/>
        <v>4886.2340999999997</v>
      </c>
      <c r="AC25" s="62">
        <f>493559/100000</f>
        <v>4.9355900000000004</v>
      </c>
      <c r="AD25" s="91">
        <f t="shared" si="25"/>
        <v>12559.999999999998</v>
      </c>
      <c r="AE25" s="98">
        <v>2285.3333333333335</v>
      </c>
      <c r="AF25" s="90">
        <f t="shared" si="14"/>
        <v>2319.9999999999995</v>
      </c>
      <c r="AG25" s="90">
        <f t="shared" si="15"/>
        <v>4450</v>
      </c>
      <c r="AH25" s="90">
        <f t="shared" si="16"/>
        <v>3499.9999999999995</v>
      </c>
      <c r="AI25" s="90">
        <f t="shared" si="17"/>
        <v>9039.9999999999982</v>
      </c>
      <c r="AJ25" s="90">
        <f t="shared" si="18"/>
        <v>5460</v>
      </c>
      <c r="AK25" s="90">
        <f t="shared" si="19"/>
        <v>8589.9999999999982</v>
      </c>
      <c r="AL25" s="90">
        <f t="shared" si="20"/>
        <v>3280</v>
      </c>
      <c r="AM25" s="90">
        <f t="shared" si="21"/>
        <v>3350</v>
      </c>
      <c r="AN25" s="98">
        <v>1714.375</v>
      </c>
      <c r="AO25" s="90">
        <f t="shared" si="23"/>
        <v>989.99999999999989</v>
      </c>
      <c r="AQ25" s="53">
        <f t="shared" si="24"/>
        <v>4794.9756944444443</v>
      </c>
    </row>
    <row r="26" spans="1:43" ht="15.6" thickTop="1" thickBot="1" x14ac:dyDescent="0.35">
      <c r="A26" s="42" t="s">
        <v>44</v>
      </c>
      <c r="B26" s="48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9">
        <v>2.56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50">
        <f t="shared" si="0"/>
        <v>2.56</v>
      </c>
      <c r="O26" s="58"/>
      <c r="P26" s="62">
        <v>622182</v>
      </c>
      <c r="Q26" s="64"/>
      <c r="R26" s="66"/>
      <c r="S26" s="66"/>
      <c r="T26" s="66"/>
      <c r="U26" s="66"/>
      <c r="V26" s="66"/>
      <c r="W26" s="66">
        <f t="shared" si="7"/>
        <v>15927.859199999999</v>
      </c>
      <c r="X26" s="66"/>
      <c r="Y26" s="66"/>
      <c r="Z26" s="66"/>
      <c r="AA26" s="66"/>
      <c r="AB26" s="66"/>
      <c r="AC26" s="62">
        <f>622182/100000</f>
        <v>6.2218200000000001</v>
      </c>
      <c r="AD26" s="99">
        <v>2744.4117647058824</v>
      </c>
      <c r="AE26" s="98">
        <v>2285.3333333333335</v>
      </c>
      <c r="AF26" s="97">
        <v>2794.848484848485</v>
      </c>
      <c r="AG26" s="98">
        <v>2609.4117647058824</v>
      </c>
      <c r="AH26" s="96">
        <v>3120</v>
      </c>
      <c r="AI26" s="97">
        <v>2661.7647058823532</v>
      </c>
      <c r="AJ26" s="90">
        <f t="shared" si="18"/>
        <v>2560</v>
      </c>
      <c r="AK26" s="98">
        <v>2688.2352941176468</v>
      </c>
      <c r="AL26" s="98">
        <v>2193.6363636363635</v>
      </c>
      <c r="AM26" s="98">
        <v>1295.5555555555557</v>
      </c>
      <c r="AN26" s="98">
        <v>1714.375</v>
      </c>
      <c r="AO26" s="98">
        <v>1052.7586206896551</v>
      </c>
      <c r="AQ26" s="53">
        <f t="shared" si="24"/>
        <v>2310.027573956263</v>
      </c>
    </row>
    <row r="27" spans="1:43" ht="15.6" thickTop="1" thickBot="1" x14ac:dyDescent="0.35">
      <c r="A27" s="42" t="s">
        <v>30</v>
      </c>
      <c r="B27" s="44">
        <v>1.96</v>
      </c>
      <c r="C27" s="39">
        <v>1.78</v>
      </c>
      <c r="D27" s="39">
        <v>2.0099999999999998</v>
      </c>
      <c r="E27" s="39">
        <v>1.67</v>
      </c>
      <c r="F27" s="39">
        <v>2.38</v>
      </c>
      <c r="G27" s="39">
        <v>2.78</v>
      </c>
      <c r="H27" s="39">
        <v>2.67</v>
      </c>
      <c r="I27" s="39">
        <v>1.76</v>
      </c>
      <c r="J27" s="39">
        <v>2.54</v>
      </c>
      <c r="K27" s="39">
        <v>1.1499999999999999</v>
      </c>
      <c r="L27" s="39">
        <v>3.85</v>
      </c>
      <c r="M27" s="39">
        <v>1.77</v>
      </c>
      <c r="N27" s="50">
        <f t="shared" si="0"/>
        <v>26.32</v>
      </c>
      <c r="O27" s="58"/>
      <c r="P27" s="62">
        <v>17282163</v>
      </c>
      <c r="Q27" s="64">
        <f t="shared" si="1"/>
        <v>338730.39479999995</v>
      </c>
      <c r="R27" s="66">
        <f t="shared" si="2"/>
        <v>307622.50140000001</v>
      </c>
      <c r="S27" s="66">
        <f t="shared" si="3"/>
        <v>347371.47629999998</v>
      </c>
      <c r="T27" s="66">
        <f t="shared" si="4"/>
        <v>288612.12209999998</v>
      </c>
      <c r="U27" s="66">
        <f t="shared" si="5"/>
        <v>411315.47939999995</v>
      </c>
      <c r="V27" s="66">
        <f t="shared" si="6"/>
        <v>480444.13139999995</v>
      </c>
      <c r="W27" s="66">
        <f t="shared" si="7"/>
        <v>461433.75209999998</v>
      </c>
      <c r="X27" s="66">
        <f t="shared" si="8"/>
        <v>304166.06880000001</v>
      </c>
      <c r="Y27" s="66">
        <f t="shared" si="9"/>
        <v>438966.94020000001</v>
      </c>
      <c r="Z27" s="66">
        <f t="shared" si="10"/>
        <v>198744.87450000001</v>
      </c>
      <c r="AA27" s="66">
        <f t="shared" si="11"/>
        <v>665363.27549999999</v>
      </c>
      <c r="AB27" s="66">
        <f t="shared" si="12"/>
        <v>305894.28510000004</v>
      </c>
      <c r="AC27" s="62">
        <f>17282163/100000</f>
        <v>172.82163</v>
      </c>
      <c r="AD27" s="91">
        <f t="shared" si="25"/>
        <v>1959.9999999999998</v>
      </c>
      <c r="AE27" s="90">
        <f t="shared" si="13"/>
        <v>1780</v>
      </c>
      <c r="AF27" s="90">
        <f t="shared" si="14"/>
        <v>2010</v>
      </c>
      <c r="AG27" s="90">
        <f t="shared" si="15"/>
        <v>1670</v>
      </c>
      <c r="AH27" s="90">
        <f t="shared" si="16"/>
        <v>2379.9999999999995</v>
      </c>
      <c r="AI27" s="90">
        <f t="shared" si="17"/>
        <v>2779.9999999999995</v>
      </c>
      <c r="AJ27" s="90">
        <f t="shared" si="18"/>
        <v>2670</v>
      </c>
      <c r="AK27" s="90">
        <f t="shared" si="19"/>
        <v>1760</v>
      </c>
      <c r="AL27" s="90">
        <f t="shared" si="20"/>
        <v>2540</v>
      </c>
      <c r="AM27" s="90">
        <f t="shared" si="21"/>
        <v>1150</v>
      </c>
      <c r="AN27" s="90">
        <f t="shared" si="22"/>
        <v>3850</v>
      </c>
      <c r="AO27" s="90">
        <f t="shared" si="23"/>
        <v>1770.0000000000002</v>
      </c>
      <c r="AQ27" s="53">
        <f t="shared" si="24"/>
        <v>2193.3333333333335</v>
      </c>
    </row>
    <row r="28" spans="1:43" ht="15.6" thickTop="1" thickBot="1" x14ac:dyDescent="0.35">
      <c r="A28" s="42" t="s">
        <v>45</v>
      </c>
      <c r="B28" s="45">
        <v>1.37</v>
      </c>
      <c r="C28" s="36">
        <v>0</v>
      </c>
      <c r="D28" s="38">
        <v>0.93</v>
      </c>
      <c r="E28" s="36">
        <v>0</v>
      </c>
      <c r="F28" s="38">
        <v>5.59</v>
      </c>
      <c r="G28" s="36">
        <v>0</v>
      </c>
      <c r="H28" s="38">
        <v>2.52</v>
      </c>
      <c r="I28" s="38">
        <v>2.35</v>
      </c>
      <c r="J28" s="36">
        <v>0</v>
      </c>
      <c r="K28" s="36">
        <v>0</v>
      </c>
      <c r="L28" s="36">
        <v>0</v>
      </c>
      <c r="M28" s="36">
        <v>0</v>
      </c>
      <c r="N28" s="50">
        <f t="shared" si="0"/>
        <v>12.76</v>
      </c>
      <c r="O28" s="58"/>
      <c r="P28" s="62">
        <v>2077132</v>
      </c>
      <c r="Q28" s="64">
        <f t="shared" si="1"/>
        <v>28456.708400000003</v>
      </c>
      <c r="R28" s="66"/>
      <c r="S28" s="66">
        <f t="shared" si="3"/>
        <v>19317.327600000001</v>
      </c>
      <c r="T28" s="66"/>
      <c r="U28" s="66">
        <f t="shared" si="5"/>
        <v>116111.67879999999</v>
      </c>
      <c r="V28" s="66"/>
      <c r="W28" s="66">
        <f t="shared" si="7"/>
        <v>52343.7264</v>
      </c>
      <c r="X28" s="66">
        <f t="shared" si="8"/>
        <v>48812.601999999999</v>
      </c>
      <c r="Y28" s="66"/>
      <c r="Z28" s="66"/>
      <c r="AA28" s="66"/>
      <c r="AB28" s="66"/>
      <c r="AC28" s="62">
        <f>2077132/100000</f>
        <v>20.771319999999999</v>
      </c>
      <c r="AD28" s="91">
        <f t="shared" si="25"/>
        <v>1370.0000000000002</v>
      </c>
      <c r="AE28" s="98">
        <v>2285.3333333333335</v>
      </c>
      <c r="AF28" s="90">
        <f t="shared" si="14"/>
        <v>930</v>
      </c>
      <c r="AG28" s="98">
        <v>2609.4117647058824</v>
      </c>
      <c r="AH28" s="90">
        <f t="shared" si="16"/>
        <v>5590</v>
      </c>
      <c r="AI28" s="97">
        <v>2661.7647058823532</v>
      </c>
      <c r="AJ28" s="90">
        <f t="shared" si="18"/>
        <v>2520</v>
      </c>
      <c r="AK28" s="90">
        <f t="shared" si="19"/>
        <v>2350</v>
      </c>
      <c r="AL28" s="98">
        <v>2193.6363636363635</v>
      </c>
      <c r="AM28" s="98">
        <v>1295.5555555555557</v>
      </c>
      <c r="AN28" s="98">
        <v>1714.375</v>
      </c>
      <c r="AO28" s="98">
        <v>1052.7586206896551</v>
      </c>
      <c r="AQ28" s="53">
        <f t="shared" si="24"/>
        <v>2214.4029453169287</v>
      </c>
    </row>
    <row r="29" spans="1:43" ht="15.6" thickTop="1" thickBot="1" x14ac:dyDescent="0.35">
      <c r="A29" s="42" t="s">
        <v>40</v>
      </c>
      <c r="B29" s="47">
        <v>5.8</v>
      </c>
      <c r="C29" s="41">
        <v>3.9</v>
      </c>
      <c r="D29" s="39">
        <v>4.49</v>
      </c>
      <c r="E29" s="41">
        <v>2.5</v>
      </c>
      <c r="F29" s="39">
        <v>3.95</v>
      </c>
      <c r="G29" s="39">
        <v>7.14</v>
      </c>
      <c r="H29" s="39">
        <v>5.13</v>
      </c>
      <c r="I29" s="41">
        <v>5.0999999999999996</v>
      </c>
      <c r="J29" s="39">
        <v>4.76</v>
      </c>
      <c r="K29" s="39">
        <v>4.49</v>
      </c>
      <c r="L29" s="39">
        <v>4.17</v>
      </c>
      <c r="M29" s="37">
        <v>0</v>
      </c>
      <c r="N29" s="50">
        <f t="shared" si="0"/>
        <v>51.43</v>
      </c>
      <c r="O29" s="58"/>
      <c r="P29" s="62">
        <v>5328212</v>
      </c>
      <c r="Q29" s="64">
        <f t="shared" si="1"/>
        <v>309036.29599999997</v>
      </c>
      <c r="R29" s="66">
        <f t="shared" si="2"/>
        <v>207800.26800000001</v>
      </c>
      <c r="S29" s="66">
        <f t="shared" si="3"/>
        <v>239236.71880000003</v>
      </c>
      <c r="T29" s="66">
        <f t="shared" si="4"/>
        <v>133205.29999999999</v>
      </c>
      <c r="U29" s="66">
        <f t="shared" si="5"/>
        <v>210464.37400000001</v>
      </c>
      <c r="V29" s="66">
        <f t="shared" si="6"/>
        <v>380434.33679999999</v>
      </c>
      <c r="W29" s="66">
        <f t="shared" si="7"/>
        <v>273337.27559999999</v>
      </c>
      <c r="X29" s="66">
        <f t="shared" si="8"/>
        <v>271738.81199999998</v>
      </c>
      <c r="Y29" s="66">
        <f t="shared" si="9"/>
        <v>253622.89119999998</v>
      </c>
      <c r="Z29" s="66">
        <f t="shared" si="10"/>
        <v>239236.71880000003</v>
      </c>
      <c r="AA29" s="66">
        <f t="shared" si="11"/>
        <v>222186.44039999999</v>
      </c>
      <c r="AB29" s="66"/>
      <c r="AC29" s="62">
        <f>5328212/100000</f>
        <v>53.282119999999999</v>
      </c>
      <c r="AD29" s="91">
        <f t="shared" si="25"/>
        <v>5800</v>
      </c>
      <c r="AE29" s="90">
        <f t="shared" si="13"/>
        <v>3900.0000000000005</v>
      </c>
      <c r="AF29" s="90">
        <f t="shared" si="14"/>
        <v>4490.0000000000009</v>
      </c>
      <c r="AG29" s="90">
        <f t="shared" si="15"/>
        <v>2500</v>
      </c>
      <c r="AH29" s="90">
        <f t="shared" si="16"/>
        <v>3950.0000000000005</v>
      </c>
      <c r="AI29" s="90">
        <f t="shared" si="17"/>
        <v>7140</v>
      </c>
      <c r="AJ29" s="90">
        <f t="shared" si="18"/>
        <v>5130</v>
      </c>
      <c r="AK29" s="90">
        <f t="shared" si="19"/>
        <v>5100</v>
      </c>
      <c r="AL29" s="90">
        <f t="shared" si="20"/>
        <v>4760</v>
      </c>
      <c r="AM29" s="90">
        <f t="shared" si="21"/>
        <v>4490.0000000000009</v>
      </c>
      <c r="AN29" s="90">
        <f t="shared" si="22"/>
        <v>4170</v>
      </c>
      <c r="AO29" s="98">
        <v>1052.7586206896551</v>
      </c>
      <c r="AQ29" s="53">
        <f t="shared" si="24"/>
        <v>4373.5632183908046</v>
      </c>
    </row>
    <row r="30" spans="1:43" ht="15.6" thickTop="1" thickBot="1" x14ac:dyDescent="0.35">
      <c r="A30" s="42" t="s">
        <v>32</v>
      </c>
      <c r="B30" s="44">
        <v>0.21</v>
      </c>
      <c r="C30" s="39">
        <v>0.09</v>
      </c>
      <c r="D30" s="41">
        <v>1</v>
      </c>
      <c r="E30" s="39">
        <v>1.04</v>
      </c>
      <c r="F30" s="41">
        <v>0.4</v>
      </c>
      <c r="G30" s="39">
        <v>0.48</v>
      </c>
      <c r="H30" s="41">
        <v>0.3</v>
      </c>
      <c r="I30" s="39">
        <v>0.31</v>
      </c>
      <c r="J30" s="39">
        <v>0.25</v>
      </c>
      <c r="K30" s="39">
        <v>7.0000000000000007E-2</v>
      </c>
      <c r="L30" s="39">
        <v>0.17</v>
      </c>
      <c r="M30" s="39">
        <v>0.06</v>
      </c>
      <c r="N30" s="50">
        <f t="shared" si="0"/>
        <v>4.38</v>
      </c>
      <c r="O30" s="58"/>
      <c r="P30" s="62">
        <v>37972812</v>
      </c>
      <c r="Q30" s="64">
        <f t="shared" si="1"/>
        <v>79742.905199999994</v>
      </c>
      <c r="R30" s="66">
        <f t="shared" si="2"/>
        <v>34175.5308</v>
      </c>
      <c r="S30" s="66">
        <f t="shared" si="3"/>
        <v>379728.12</v>
      </c>
      <c r="T30" s="66">
        <f t="shared" si="4"/>
        <v>394917.24480000004</v>
      </c>
      <c r="U30" s="66">
        <f t="shared" si="5"/>
        <v>151891.24800000002</v>
      </c>
      <c r="V30" s="66">
        <f t="shared" si="6"/>
        <v>182269.49759999997</v>
      </c>
      <c r="W30" s="66">
        <f t="shared" si="7"/>
        <v>113918.436</v>
      </c>
      <c r="X30" s="66">
        <f t="shared" si="8"/>
        <v>117715.71720000001</v>
      </c>
      <c r="Y30" s="66">
        <f t="shared" si="9"/>
        <v>94932.03</v>
      </c>
      <c r="Z30" s="66">
        <f t="shared" si="10"/>
        <v>26580.968400000002</v>
      </c>
      <c r="AA30" s="66">
        <f t="shared" si="11"/>
        <v>64553.780400000003</v>
      </c>
      <c r="AB30" s="66">
        <f t="shared" si="12"/>
        <v>22783.687199999997</v>
      </c>
      <c r="AC30" s="62">
        <f>37972812/100000</f>
        <v>379.72811999999999</v>
      </c>
      <c r="AD30" s="91">
        <f t="shared" si="25"/>
        <v>210</v>
      </c>
      <c r="AE30" s="90">
        <f t="shared" si="13"/>
        <v>90</v>
      </c>
      <c r="AF30" s="90">
        <f t="shared" si="14"/>
        <v>1000</v>
      </c>
      <c r="AG30" s="90">
        <f t="shared" si="15"/>
        <v>1040.0000000000002</v>
      </c>
      <c r="AH30" s="90">
        <f t="shared" si="16"/>
        <v>400.00000000000006</v>
      </c>
      <c r="AI30" s="90">
        <f t="shared" si="17"/>
        <v>479.99999999999994</v>
      </c>
      <c r="AJ30" s="90">
        <f t="shared" si="18"/>
        <v>300</v>
      </c>
      <c r="AK30" s="90">
        <f t="shared" si="19"/>
        <v>310.00000000000006</v>
      </c>
      <c r="AL30" s="90">
        <f t="shared" si="20"/>
        <v>250</v>
      </c>
      <c r="AM30" s="90">
        <f t="shared" si="21"/>
        <v>70</v>
      </c>
      <c r="AN30" s="90">
        <f t="shared" si="22"/>
        <v>170</v>
      </c>
      <c r="AO30" s="90">
        <f t="shared" si="23"/>
        <v>59.999999999999993</v>
      </c>
      <c r="AQ30" s="53">
        <f t="shared" si="24"/>
        <v>365</v>
      </c>
    </row>
    <row r="31" spans="1:43" ht="15.6" thickTop="1" thickBot="1" x14ac:dyDescent="0.35">
      <c r="A31" s="42" t="s">
        <v>33</v>
      </c>
      <c r="B31" s="45">
        <v>0.17</v>
      </c>
      <c r="C31" s="38">
        <v>2.06</v>
      </c>
      <c r="D31" s="38">
        <v>4.1900000000000004</v>
      </c>
      <c r="E31" s="38">
        <v>2.36</v>
      </c>
      <c r="F31" s="38">
        <v>1.96</v>
      </c>
      <c r="G31" s="38">
        <v>1.61</v>
      </c>
      <c r="H31" s="38">
        <v>0.56999999999999995</v>
      </c>
      <c r="I31" s="38">
        <v>1.67</v>
      </c>
      <c r="J31" s="38">
        <v>1.69</v>
      </c>
      <c r="K31" s="38">
        <v>0.76</v>
      </c>
      <c r="L31" s="38">
        <v>0.69</v>
      </c>
      <c r="M31" s="38">
        <v>0.21</v>
      </c>
      <c r="N31" s="50">
        <f t="shared" si="0"/>
        <v>17.940000000000001</v>
      </c>
      <c r="O31" s="58"/>
      <c r="P31" s="62">
        <v>10276617</v>
      </c>
      <c r="Q31" s="64">
        <f t="shared" si="1"/>
        <v>17470.248900000002</v>
      </c>
      <c r="R31" s="66">
        <f t="shared" si="2"/>
        <v>211698.31020000001</v>
      </c>
      <c r="S31" s="66">
        <f t="shared" si="3"/>
        <v>430590.25230000005</v>
      </c>
      <c r="T31" s="66">
        <f t="shared" si="4"/>
        <v>242528.16119999997</v>
      </c>
      <c r="U31" s="66">
        <f t="shared" si="5"/>
        <v>201421.69320000001</v>
      </c>
      <c r="V31" s="66">
        <f t="shared" si="6"/>
        <v>165453.5337</v>
      </c>
      <c r="W31" s="66">
        <f t="shared" si="7"/>
        <v>58576.716899999992</v>
      </c>
      <c r="X31" s="66">
        <f t="shared" si="8"/>
        <v>171619.50390000001</v>
      </c>
      <c r="Y31" s="66">
        <f t="shared" si="9"/>
        <v>173674.8273</v>
      </c>
      <c r="Z31" s="66">
        <f t="shared" si="10"/>
        <v>78102.289199999999</v>
      </c>
      <c r="AA31" s="66">
        <f t="shared" si="11"/>
        <v>70908.657299999992</v>
      </c>
      <c r="AB31" s="66">
        <f t="shared" si="12"/>
        <v>21580.895699999997</v>
      </c>
      <c r="AC31" s="62">
        <f>10276617/100000</f>
        <v>102.76617</v>
      </c>
      <c r="AD31" s="91">
        <f t="shared" si="25"/>
        <v>170.00000000000003</v>
      </c>
      <c r="AE31" s="90">
        <f t="shared" si="13"/>
        <v>2060</v>
      </c>
      <c r="AF31" s="90">
        <f t="shared" si="14"/>
        <v>4190</v>
      </c>
      <c r="AG31" s="90">
        <f t="shared" si="15"/>
        <v>2359.9999999999995</v>
      </c>
      <c r="AH31" s="90">
        <f t="shared" si="16"/>
        <v>1960</v>
      </c>
      <c r="AI31" s="90">
        <f t="shared" si="17"/>
        <v>1610</v>
      </c>
      <c r="AJ31" s="90">
        <f t="shared" si="18"/>
        <v>569.99999999999989</v>
      </c>
      <c r="AK31" s="90">
        <f t="shared" si="19"/>
        <v>1670</v>
      </c>
      <c r="AL31" s="90">
        <f t="shared" si="20"/>
        <v>1690</v>
      </c>
      <c r="AM31" s="90">
        <f t="shared" si="21"/>
        <v>760</v>
      </c>
      <c r="AN31" s="90">
        <f t="shared" si="22"/>
        <v>689.99999999999989</v>
      </c>
      <c r="AO31" s="90">
        <f t="shared" si="23"/>
        <v>209.99999999999997</v>
      </c>
      <c r="AQ31" s="53">
        <f t="shared" si="24"/>
        <v>1495</v>
      </c>
    </row>
    <row r="32" spans="1:43" ht="15.6" thickTop="1" thickBot="1" x14ac:dyDescent="0.35">
      <c r="A32" s="42" t="s">
        <v>34</v>
      </c>
      <c r="B32" s="44">
        <v>1.47</v>
      </c>
      <c r="C32" s="39">
        <v>1.87</v>
      </c>
      <c r="D32" s="39">
        <v>1.76</v>
      </c>
      <c r="E32" s="39">
        <v>2.12</v>
      </c>
      <c r="F32" s="39">
        <v>1.57</v>
      </c>
      <c r="G32" s="39">
        <v>1.74</v>
      </c>
      <c r="H32" s="39">
        <v>1.63</v>
      </c>
      <c r="I32" s="39">
        <v>1.75</v>
      </c>
      <c r="J32" s="39">
        <v>1.06</v>
      </c>
      <c r="K32" s="39">
        <v>1.23</v>
      </c>
      <c r="L32" s="39">
        <v>0.97</v>
      </c>
      <c r="M32" s="39">
        <v>0.77</v>
      </c>
      <c r="N32" s="50">
        <f t="shared" si="0"/>
        <v>17.939999999999998</v>
      </c>
      <c r="O32" s="58"/>
      <c r="P32" s="62">
        <v>19414458</v>
      </c>
      <c r="Q32" s="64">
        <f t="shared" si="1"/>
        <v>285392.53259999998</v>
      </c>
      <c r="R32" s="66">
        <f t="shared" si="2"/>
        <v>363050.36460000003</v>
      </c>
      <c r="S32" s="66">
        <f t="shared" si="3"/>
        <v>341694.4608</v>
      </c>
      <c r="T32" s="66">
        <f t="shared" si="4"/>
        <v>411586.50959999999</v>
      </c>
      <c r="U32" s="66">
        <f t="shared" si="5"/>
        <v>304806.99060000002</v>
      </c>
      <c r="V32" s="66">
        <f t="shared" si="6"/>
        <v>337811.56920000003</v>
      </c>
      <c r="W32" s="66">
        <f t="shared" si="7"/>
        <v>316455.6654</v>
      </c>
      <c r="X32" s="66">
        <f t="shared" si="8"/>
        <v>339753.01500000001</v>
      </c>
      <c r="Y32" s="66">
        <f t="shared" si="9"/>
        <v>205793.2548</v>
      </c>
      <c r="Z32" s="66">
        <f t="shared" si="10"/>
        <v>238797.8334</v>
      </c>
      <c r="AA32" s="66">
        <f t="shared" si="11"/>
        <v>188320.24259999997</v>
      </c>
      <c r="AB32" s="66">
        <f t="shared" si="12"/>
        <v>149491.3266</v>
      </c>
      <c r="AC32" s="62">
        <f>19414458/100000</f>
        <v>194.14457999999999</v>
      </c>
      <c r="AD32" s="91">
        <f t="shared" si="25"/>
        <v>1470</v>
      </c>
      <c r="AE32" s="90">
        <f t="shared" si="13"/>
        <v>1870.0000000000002</v>
      </c>
      <c r="AF32" s="90">
        <f t="shared" si="14"/>
        <v>1760</v>
      </c>
      <c r="AG32" s="90">
        <f t="shared" si="15"/>
        <v>2120</v>
      </c>
      <c r="AH32" s="90">
        <f t="shared" si="16"/>
        <v>1570.0000000000002</v>
      </c>
      <c r="AI32" s="90">
        <f t="shared" si="17"/>
        <v>1740.0000000000002</v>
      </c>
      <c r="AJ32" s="90">
        <f t="shared" si="18"/>
        <v>1630</v>
      </c>
      <c r="AK32" s="90">
        <f t="shared" si="19"/>
        <v>1750.0000000000002</v>
      </c>
      <c r="AL32" s="90">
        <f t="shared" si="20"/>
        <v>1060</v>
      </c>
      <c r="AM32" s="90">
        <f t="shared" si="21"/>
        <v>1230</v>
      </c>
      <c r="AN32" s="90">
        <f t="shared" si="22"/>
        <v>969.99999999999989</v>
      </c>
      <c r="AO32" s="90">
        <f t="shared" si="23"/>
        <v>770</v>
      </c>
      <c r="AQ32" s="53">
        <f t="shared" si="24"/>
        <v>1495</v>
      </c>
    </row>
    <row r="33" spans="1:43" ht="15.6" thickTop="1" thickBot="1" x14ac:dyDescent="0.35">
      <c r="A33" s="42" t="s">
        <v>47</v>
      </c>
      <c r="B33" s="45">
        <v>0.25</v>
      </c>
      <c r="C33" s="36">
        <v>0</v>
      </c>
      <c r="D33" s="38">
        <v>0.86</v>
      </c>
      <c r="E33" s="36">
        <v>0</v>
      </c>
      <c r="F33" s="36">
        <v>0</v>
      </c>
      <c r="G33" s="40">
        <v>1.3</v>
      </c>
      <c r="H33" s="36">
        <v>0</v>
      </c>
      <c r="I33" s="38">
        <v>0.27</v>
      </c>
      <c r="J33" s="36">
        <v>0</v>
      </c>
      <c r="K33" s="38">
        <v>0.12</v>
      </c>
      <c r="L33" s="38">
        <v>0.15</v>
      </c>
      <c r="M33" s="38">
        <v>7.0000000000000007E-2</v>
      </c>
      <c r="N33" s="50">
        <f t="shared" si="0"/>
        <v>3.02</v>
      </c>
      <c r="O33" s="58"/>
      <c r="P33" s="62">
        <v>6963764</v>
      </c>
      <c r="Q33" s="64">
        <f t="shared" si="1"/>
        <v>17409.41</v>
      </c>
      <c r="R33" s="66"/>
      <c r="S33" s="66">
        <f t="shared" si="3"/>
        <v>59888.3704</v>
      </c>
      <c r="T33" s="66"/>
      <c r="U33" s="66"/>
      <c r="V33" s="66">
        <f t="shared" si="6"/>
        <v>90528.932000000015</v>
      </c>
      <c r="W33" s="66"/>
      <c r="X33" s="66">
        <f t="shared" si="8"/>
        <v>18802.162800000002</v>
      </c>
      <c r="Y33" s="66"/>
      <c r="Z33" s="66">
        <f t="shared" si="10"/>
        <v>8356.5167999999994</v>
      </c>
      <c r="AA33" s="66">
        <f t="shared" si="11"/>
        <v>10445.646000000001</v>
      </c>
      <c r="AB33" s="66">
        <f t="shared" si="12"/>
        <v>4874.6348000000007</v>
      </c>
      <c r="AC33" s="62">
        <f>6963764/100000</f>
        <v>69.637640000000005</v>
      </c>
      <c r="AD33" s="91">
        <f t="shared" si="25"/>
        <v>249.99999999999997</v>
      </c>
      <c r="AE33" s="98">
        <v>2285.3333333333335</v>
      </c>
      <c r="AF33" s="90">
        <f t="shared" si="14"/>
        <v>859.99999999999989</v>
      </c>
      <c r="AG33" s="98">
        <v>2609.4117647058824</v>
      </c>
      <c r="AH33" s="96">
        <v>3120</v>
      </c>
      <c r="AI33" s="90">
        <f t="shared" si="17"/>
        <v>1300.0000000000002</v>
      </c>
      <c r="AJ33" s="98">
        <v>2769.7222222222222</v>
      </c>
      <c r="AK33" s="90">
        <f t="shared" si="19"/>
        <v>270</v>
      </c>
      <c r="AL33" s="98">
        <v>2193.6363636363635</v>
      </c>
      <c r="AM33" s="90">
        <f t="shared" si="21"/>
        <v>119.99999999999999</v>
      </c>
      <c r="AN33" s="90">
        <f t="shared" si="22"/>
        <v>150</v>
      </c>
      <c r="AO33" s="90">
        <f t="shared" si="23"/>
        <v>70</v>
      </c>
      <c r="AQ33" s="53">
        <f t="shared" si="24"/>
        <v>1333.1753069914837</v>
      </c>
    </row>
    <row r="34" spans="1:43" ht="15.6" thickTop="1" thickBot="1" x14ac:dyDescent="0.35">
      <c r="A34" s="42" t="s">
        <v>36</v>
      </c>
      <c r="B34" s="44">
        <v>4.16</v>
      </c>
      <c r="C34" s="39">
        <v>0.61</v>
      </c>
      <c r="D34" s="39">
        <v>3.08</v>
      </c>
      <c r="E34" s="39">
        <v>3.36</v>
      </c>
      <c r="F34" s="39">
        <v>2.2599999999999998</v>
      </c>
      <c r="G34" s="39">
        <v>0.35</v>
      </c>
      <c r="H34" s="39">
        <v>0.81</v>
      </c>
      <c r="I34" s="39">
        <v>0.99</v>
      </c>
      <c r="J34" s="39">
        <v>0.26</v>
      </c>
      <c r="K34" s="39">
        <v>0.59</v>
      </c>
      <c r="L34" s="39">
        <v>0.38</v>
      </c>
      <c r="M34" s="41">
        <v>0.2</v>
      </c>
      <c r="N34" s="50">
        <f t="shared" si="0"/>
        <v>17.05</v>
      </c>
      <c r="O34" s="58"/>
      <c r="P34" s="62">
        <v>5450421</v>
      </c>
      <c r="Q34" s="64">
        <f t="shared" si="1"/>
        <v>226737.51360000001</v>
      </c>
      <c r="R34" s="66">
        <f t="shared" si="2"/>
        <v>33247.568100000004</v>
      </c>
      <c r="S34" s="66">
        <f t="shared" si="3"/>
        <v>167872.96679999999</v>
      </c>
      <c r="T34" s="66">
        <f t="shared" si="4"/>
        <v>183134.14559999999</v>
      </c>
      <c r="U34" s="66">
        <f t="shared" si="5"/>
        <v>123179.51459999999</v>
      </c>
      <c r="V34" s="66">
        <f t="shared" si="6"/>
        <v>19076.4735</v>
      </c>
      <c r="W34" s="66">
        <f t="shared" si="7"/>
        <v>44148.410100000008</v>
      </c>
      <c r="X34" s="66">
        <f t="shared" si="8"/>
        <v>53959.1679</v>
      </c>
      <c r="Y34" s="66">
        <f t="shared" si="9"/>
        <v>14171.0946</v>
      </c>
      <c r="Z34" s="66">
        <f t="shared" si="10"/>
        <v>32157.483899999996</v>
      </c>
      <c r="AA34" s="66">
        <f t="shared" si="11"/>
        <v>20711.5998</v>
      </c>
      <c r="AB34" s="66">
        <f t="shared" si="12"/>
        <v>10900.841999999999</v>
      </c>
      <c r="AC34" s="62">
        <f>5450421/100000</f>
        <v>54.50421</v>
      </c>
      <c r="AD34" s="91">
        <f t="shared" si="25"/>
        <v>4160</v>
      </c>
      <c r="AE34" s="90">
        <f t="shared" si="13"/>
        <v>610.00000000000011</v>
      </c>
      <c r="AF34" s="90">
        <f t="shared" si="14"/>
        <v>3080</v>
      </c>
      <c r="AG34" s="90">
        <f t="shared" si="15"/>
        <v>3359.9999999999995</v>
      </c>
      <c r="AH34" s="90">
        <f t="shared" si="16"/>
        <v>2260</v>
      </c>
      <c r="AI34" s="90">
        <f t="shared" si="17"/>
        <v>350</v>
      </c>
      <c r="AJ34" s="90">
        <f t="shared" si="18"/>
        <v>810.00000000000011</v>
      </c>
      <c r="AK34" s="90">
        <f t="shared" si="19"/>
        <v>990</v>
      </c>
      <c r="AL34" s="90">
        <f t="shared" si="20"/>
        <v>260</v>
      </c>
      <c r="AM34" s="90">
        <f t="shared" si="21"/>
        <v>589.99999999999989</v>
      </c>
      <c r="AN34" s="90">
        <f t="shared" si="22"/>
        <v>380</v>
      </c>
      <c r="AO34" s="90">
        <f t="shared" si="23"/>
        <v>199.99999999999997</v>
      </c>
      <c r="AQ34" s="53">
        <f t="shared" si="24"/>
        <v>1420.8333333333333</v>
      </c>
    </row>
    <row r="35" spans="1:43" ht="15.6" thickTop="1" thickBot="1" x14ac:dyDescent="0.35">
      <c r="A35" s="42" t="s">
        <v>35</v>
      </c>
      <c r="B35" s="45">
        <v>4.76</v>
      </c>
      <c r="C35" s="38">
        <v>1.05</v>
      </c>
      <c r="D35" s="38">
        <v>0.72</v>
      </c>
      <c r="E35" s="38">
        <v>3.64</v>
      </c>
      <c r="F35" s="38">
        <v>4.2699999999999996</v>
      </c>
      <c r="G35" s="38">
        <v>1.97</v>
      </c>
      <c r="H35" s="38">
        <v>1.58</v>
      </c>
      <c r="I35" s="38">
        <v>1.45</v>
      </c>
      <c r="J35" s="40">
        <v>1.2</v>
      </c>
      <c r="K35" s="38">
        <v>1.78</v>
      </c>
      <c r="L35" s="36">
        <v>0</v>
      </c>
      <c r="M35" s="36">
        <v>0</v>
      </c>
      <c r="N35" s="50">
        <f t="shared" si="0"/>
        <v>22.42</v>
      </c>
      <c r="O35" s="58"/>
      <c r="P35" s="62">
        <v>2080908</v>
      </c>
      <c r="Q35" s="64">
        <f t="shared" si="1"/>
        <v>99051.220799999996</v>
      </c>
      <c r="R35" s="66">
        <f t="shared" si="2"/>
        <v>21849.534</v>
      </c>
      <c r="S35" s="66">
        <f t="shared" si="3"/>
        <v>14982.5376</v>
      </c>
      <c r="T35" s="66">
        <f t="shared" si="4"/>
        <v>75745.051200000002</v>
      </c>
      <c r="U35" s="66">
        <f t="shared" si="5"/>
        <v>88854.771599999978</v>
      </c>
      <c r="V35" s="66">
        <f t="shared" si="6"/>
        <v>40993.887599999995</v>
      </c>
      <c r="W35" s="66">
        <f t="shared" si="7"/>
        <v>32878.346400000002</v>
      </c>
      <c r="X35" s="66">
        <f t="shared" si="8"/>
        <v>30173.166000000001</v>
      </c>
      <c r="Y35" s="66">
        <f t="shared" si="9"/>
        <v>24970.896000000001</v>
      </c>
      <c r="Z35" s="66">
        <f t="shared" si="10"/>
        <v>37040.162400000001</v>
      </c>
      <c r="AA35" s="66"/>
      <c r="AB35" s="66"/>
      <c r="AC35" s="62">
        <f>2080908/100000</f>
        <v>20.809080000000002</v>
      </c>
      <c r="AD35" s="91">
        <f t="shared" si="25"/>
        <v>4759.9999999999991</v>
      </c>
      <c r="AE35" s="90">
        <f t="shared" si="13"/>
        <v>1050</v>
      </c>
      <c r="AF35" s="90">
        <f t="shared" si="14"/>
        <v>719.99999999999989</v>
      </c>
      <c r="AG35" s="90">
        <f t="shared" si="15"/>
        <v>3640</v>
      </c>
      <c r="AH35" s="90">
        <f t="shared" si="16"/>
        <v>4269.9999999999982</v>
      </c>
      <c r="AI35" s="90">
        <f t="shared" si="17"/>
        <v>1969.9999999999995</v>
      </c>
      <c r="AJ35" s="90">
        <f t="shared" si="18"/>
        <v>1580</v>
      </c>
      <c r="AK35" s="90">
        <f t="shared" si="19"/>
        <v>1450</v>
      </c>
      <c r="AL35" s="90">
        <f t="shared" si="20"/>
        <v>1200</v>
      </c>
      <c r="AM35" s="90">
        <f t="shared" si="21"/>
        <v>1780</v>
      </c>
      <c r="AN35" s="98">
        <v>1714.375</v>
      </c>
      <c r="AO35" s="98">
        <v>1052.7586206896551</v>
      </c>
      <c r="AQ35" s="53">
        <f t="shared" si="24"/>
        <v>2098.9278017241377</v>
      </c>
    </row>
    <row r="36" spans="1:43" ht="15.6" thickTop="1" thickBot="1" x14ac:dyDescent="0.35">
      <c r="A36" s="42" t="s">
        <v>20</v>
      </c>
      <c r="B36" s="44">
        <v>3.73</v>
      </c>
      <c r="C36" s="41">
        <v>2</v>
      </c>
      <c r="D36" s="39">
        <v>3.41</v>
      </c>
      <c r="E36" s="39">
        <v>4.66</v>
      </c>
      <c r="F36" s="41">
        <v>4</v>
      </c>
      <c r="G36" s="39">
        <v>2.64</v>
      </c>
      <c r="H36" s="39">
        <v>4.8099999999999996</v>
      </c>
      <c r="I36" s="39">
        <v>3.37</v>
      </c>
      <c r="J36" s="39">
        <v>3.35</v>
      </c>
      <c r="K36" s="39">
        <v>1.72</v>
      </c>
      <c r="L36" s="39">
        <v>1.21</v>
      </c>
      <c r="M36" s="39">
        <v>1.1100000000000001</v>
      </c>
      <c r="N36" s="50">
        <f t="shared" si="0"/>
        <v>36.010000000000005</v>
      </c>
      <c r="O36" s="58"/>
      <c r="P36" s="62">
        <v>46937060</v>
      </c>
      <c r="Q36" s="64">
        <f t="shared" si="1"/>
        <v>1750752.3380000002</v>
      </c>
      <c r="R36" s="66">
        <f t="shared" si="2"/>
        <v>938741.2</v>
      </c>
      <c r="S36" s="66">
        <f t="shared" si="3"/>
        <v>1600553.746</v>
      </c>
      <c r="T36" s="66">
        <f t="shared" si="4"/>
        <v>2187266.9959999998</v>
      </c>
      <c r="U36" s="66">
        <f t="shared" si="5"/>
        <v>1877482.4</v>
      </c>
      <c r="V36" s="66">
        <f t="shared" si="6"/>
        <v>1239138.3840000001</v>
      </c>
      <c r="W36" s="66">
        <f t="shared" si="7"/>
        <v>2257672.5860000001</v>
      </c>
      <c r="X36" s="66">
        <f t="shared" si="8"/>
        <v>1581778.9220000003</v>
      </c>
      <c r="Y36" s="66">
        <f t="shared" si="9"/>
        <v>1572391.51</v>
      </c>
      <c r="Z36" s="66">
        <f t="shared" si="10"/>
        <v>807317.43200000003</v>
      </c>
      <c r="AA36" s="66">
        <f t="shared" si="11"/>
        <v>567938.42599999998</v>
      </c>
      <c r="AB36" s="66">
        <f t="shared" si="12"/>
        <v>521001.36600000004</v>
      </c>
      <c r="AC36" s="62">
        <f>46937060/100000</f>
        <v>469.37060000000002</v>
      </c>
      <c r="AD36" s="91">
        <f t="shared" si="25"/>
        <v>3730.0000000000005</v>
      </c>
      <c r="AE36" s="90">
        <f t="shared" si="13"/>
        <v>1999.9999999999998</v>
      </c>
      <c r="AF36" s="90">
        <f t="shared" si="14"/>
        <v>3410</v>
      </c>
      <c r="AG36" s="90">
        <f t="shared" si="15"/>
        <v>4659.9999999999991</v>
      </c>
      <c r="AH36" s="90">
        <f t="shared" si="16"/>
        <v>3999.9999999999995</v>
      </c>
      <c r="AI36" s="90">
        <f t="shared" si="17"/>
        <v>2640</v>
      </c>
      <c r="AJ36" s="90">
        <f t="shared" si="18"/>
        <v>4810</v>
      </c>
      <c r="AK36" s="90">
        <f t="shared" si="19"/>
        <v>3370.0000000000005</v>
      </c>
      <c r="AL36" s="90">
        <f t="shared" si="20"/>
        <v>3350</v>
      </c>
      <c r="AM36" s="90">
        <f t="shared" si="21"/>
        <v>1720</v>
      </c>
      <c r="AN36" s="90">
        <f t="shared" si="22"/>
        <v>1210</v>
      </c>
      <c r="AO36" s="90">
        <f t="shared" si="23"/>
        <v>1110</v>
      </c>
      <c r="AQ36" s="53">
        <f t="shared" si="24"/>
        <v>3000.8333333333335</v>
      </c>
    </row>
    <row r="37" spans="1:43" ht="15.6" thickTop="1" thickBot="1" x14ac:dyDescent="0.35">
      <c r="A37" s="42" t="s">
        <v>38</v>
      </c>
      <c r="B37" s="44">
        <v>3.37</v>
      </c>
      <c r="C37" s="39">
        <v>4.37</v>
      </c>
      <c r="D37" s="39">
        <v>1.47</v>
      </c>
      <c r="E37" s="39">
        <v>0.95</v>
      </c>
      <c r="F37" s="39">
        <v>3.46</v>
      </c>
      <c r="G37" s="39">
        <v>3.91</v>
      </c>
      <c r="H37" s="39">
        <v>5.46</v>
      </c>
      <c r="I37" s="39">
        <v>5.44</v>
      </c>
      <c r="J37" s="39">
        <v>7.69</v>
      </c>
      <c r="K37" s="41">
        <v>0.6</v>
      </c>
      <c r="L37" s="39">
        <v>2.2599999999999998</v>
      </c>
      <c r="M37" s="39">
        <v>0.53</v>
      </c>
      <c r="N37" s="50">
        <f t="shared" si="0"/>
        <v>39.510000000000005</v>
      </c>
      <c r="O37" s="58"/>
      <c r="P37" s="62">
        <v>10230185</v>
      </c>
      <c r="Q37" s="64">
        <f t="shared" si="1"/>
        <v>344757.23450000002</v>
      </c>
      <c r="R37" s="66">
        <f t="shared" si="2"/>
        <v>447059.08450000006</v>
      </c>
      <c r="S37" s="66">
        <f t="shared" si="3"/>
        <v>150383.71950000001</v>
      </c>
      <c r="T37" s="66">
        <f t="shared" si="4"/>
        <v>97186.757500000007</v>
      </c>
      <c r="U37" s="66">
        <f t="shared" si="5"/>
        <v>353964.40100000001</v>
      </c>
      <c r="V37" s="66">
        <f t="shared" si="6"/>
        <v>400000.23350000003</v>
      </c>
      <c r="W37" s="66">
        <f t="shared" si="7"/>
        <v>558568.10100000002</v>
      </c>
      <c r="X37" s="66">
        <f t="shared" si="8"/>
        <v>556522.06400000001</v>
      </c>
      <c r="Y37" s="66">
        <f t="shared" si="9"/>
        <v>786701.22650000011</v>
      </c>
      <c r="Z37" s="66">
        <f t="shared" si="10"/>
        <v>61381.11</v>
      </c>
      <c r="AA37" s="66">
        <f t="shared" si="11"/>
        <v>231202.18099999998</v>
      </c>
      <c r="AB37" s="66">
        <f t="shared" si="12"/>
        <v>54219.980499999998</v>
      </c>
      <c r="AC37" s="62">
        <f>10230185/100000</f>
        <v>102.30185</v>
      </c>
      <c r="AD37" s="91">
        <f t="shared" si="25"/>
        <v>3370</v>
      </c>
      <c r="AE37" s="90">
        <f t="shared" si="13"/>
        <v>4370.0000000000009</v>
      </c>
      <c r="AF37" s="90">
        <f t="shared" si="14"/>
        <v>1470</v>
      </c>
      <c r="AG37" s="90">
        <f t="shared" si="15"/>
        <v>950</v>
      </c>
      <c r="AH37" s="90">
        <f t="shared" si="16"/>
        <v>3460</v>
      </c>
      <c r="AI37" s="90">
        <f t="shared" si="17"/>
        <v>3910.0000000000005</v>
      </c>
      <c r="AJ37" s="90">
        <f t="shared" si="18"/>
        <v>5460</v>
      </c>
      <c r="AK37" s="90">
        <f t="shared" si="19"/>
        <v>5440</v>
      </c>
      <c r="AL37" s="90">
        <f t="shared" si="20"/>
        <v>7690.0000000000009</v>
      </c>
      <c r="AM37" s="90">
        <f t="shared" si="21"/>
        <v>600</v>
      </c>
      <c r="AN37" s="90">
        <f t="shared" si="22"/>
        <v>2260</v>
      </c>
      <c r="AO37" s="90">
        <f t="shared" si="23"/>
        <v>530</v>
      </c>
      <c r="AQ37" s="53">
        <f t="shared" si="24"/>
        <v>3292.5</v>
      </c>
    </row>
    <row r="38" spans="1:43" ht="15.6" thickTop="1" thickBot="1" x14ac:dyDescent="0.35">
      <c r="A38" s="42" t="s">
        <v>41</v>
      </c>
      <c r="B38" s="46">
        <v>4.0999999999999996</v>
      </c>
      <c r="C38" s="38">
        <v>1.39</v>
      </c>
      <c r="D38" s="40">
        <v>6.4</v>
      </c>
      <c r="E38" s="40">
        <v>4.8</v>
      </c>
      <c r="F38" s="38">
        <v>4.37</v>
      </c>
      <c r="G38" s="38">
        <v>4.3899999999999997</v>
      </c>
      <c r="H38" s="38">
        <v>7.64</v>
      </c>
      <c r="I38" s="38">
        <v>4.75</v>
      </c>
      <c r="J38" s="38">
        <v>4.08</v>
      </c>
      <c r="K38" s="38">
        <v>3.22</v>
      </c>
      <c r="L38" s="38">
        <v>4.66</v>
      </c>
      <c r="M38" s="38">
        <v>1.0900000000000001</v>
      </c>
      <c r="N38" s="50">
        <f t="shared" si="0"/>
        <v>50.89</v>
      </c>
      <c r="O38" s="58"/>
      <c r="P38" s="62">
        <v>8544527</v>
      </c>
      <c r="Q38" s="64">
        <f t="shared" si="1"/>
        <v>350325.60699999996</v>
      </c>
      <c r="R38" s="66">
        <f t="shared" si="2"/>
        <v>118768.92529999999</v>
      </c>
      <c r="S38" s="66">
        <f t="shared" si="3"/>
        <v>546849.728</v>
      </c>
      <c r="T38" s="66">
        <f t="shared" si="4"/>
        <v>410137.29600000003</v>
      </c>
      <c r="U38" s="66">
        <f t="shared" si="5"/>
        <v>373395.82990000001</v>
      </c>
      <c r="V38" s="66">
        <f t="shared" si="6"/>
        <v>375104.73529999994</v>
      </c>
      <c r="W38" s="66">
        <f t="shared" si="7"/>
        <v>652801.86279999989</v>
      </c>
      <c r="X38" s="66">
        <f t="shared" si="8"/>
        <v>405865.03249999997</v>
      </c>
      <c r="Y38" s="66">
        <f t="shared" si="9"/>
        <v>348616.70160000003</v>
      </c>
      <c r="Z38" s="66">
        <f t="shared" si="10"/>
        <v>275133.76939999999</v>
      </c>
      <c r="AA38" s="66">
        <f t="shared" si="11"/>
        <v>398174.95819999999</v>
      </c>
      <c r="AB38" s="66">
        <f t="shared" si="12"/>
        <v>93135.344300000012</v>
      </c>
      <c r="AC38" s="62">
        <f>8544527/100000</f>
        <v>85.445269999999994</v>
      </c>
      <c r="AD38" s="91">
        <f t="shared" si="25"/>
        <v>4100</v>
      </c>
      <c r="AE38" s="90">
        <f t="shared" si="13"/>
        <v>1390</v>
      </c>
      <c r="AF38" s="90">
        <f t="shared" si="14"/>
        <v>6400.0000000000009</v>
      </c>
      <c r="AG38" s="90">
        <f t="shared" si="15"/>
        <v>4800.0000000000009</v>
      </c>
      <c r="AH38" s="90">
        <f t="shared" si="16"/>
        <v>4370.0000000000009</v>
      </c>
      <c r="AI38" s="90">
        <f t="shared" si="17"/>
        <v>4390</v>
      </c>
      <c r="AJ38" s="90">
        <f t="shared" si="18"/>
        <v>7639.9999999999991</v>
      </c>
      <c r="AK38" s="90">
        <f t="shared" si="19"/>
        <v>4750</v>
      </c>
      <c r="AL38" s="90">
        <f t="shared" si="20"/>
        <v>4080.0000000000005</v>
      </c>
      <c r="AM38" s="90">
        <f t="shared" si="21"/>
        <v>3220</v>
      </c>
      <c r="AN38" s="90">
        <f t="shared" si="22"/>
        <v>4660</v>
      </c>
      <c r="AO38" s="90">
        <f t="shared" si="23"/>
        <v>1090.0000000000002</v>
      </c>
      <c r="AQ38" s="53">
        <f t="shared" si="24"/>
        <v>4240.833333333333</v>
      </c>
    </row>
    <row r="39" spans="1:43" ht="15.6" thickTop="1" thickBot="1" x14ac:dyDescent="0.35">
      <c r="A39" s="42" t="s">
        <v>48</v>
      </c>
      <c r="B39" s="44">
        <v>1.76</v>
      </c>
      <c r="C39" s="39">
        <v>1.24</v>
      </c>
      <c r="D39" s="39">
        <v>2.83</v>
      </c>
      <c r="E39" s="39">
        <v>1.54</v>
      </c>
      <c r="F39" s="39">
        <v>2.83</v>
      </c>
      <c r="G39" s="39">
        <v>0.86</v>
      </c>
      <c r="H39" s="39">
        <v>1.65</v>
      </c>
      <c r="I39" s="39">
        <v>0.53</v>
      </c>
      <c r="J39" s="39">
        <v>0.64</v>
      </c>
      <c r="K39" s="39">
        <v>0.28000000000000003</v>
      </c>
      <c r="L39" s="39">
        <v>0.51</v>
      </c>
      <c r="M39" s="39">
        <v>0.22</v>
      </c>
      <c r="N39" s="50">
        <f t="shared" si="0"/>
        <v>14.889999999999999</v>
      </c>
      <c r="O39" s="58"/>
      <c r="P39" s="62">
        <v>82003882</v>
      </c>
      <c r="Q39" s="64">
        <f t="shared" si="1"/>
        <v>1443268.3232</v>
      </c>
      <c r="R39" s="66">
        <f t="shared" si="2"/>
        <v>1016848.1368</v>
      </c>
      <c r="S39" s="66">
        <f t="shared" si="3"/>
        <v>2320709.8606000002</v>
      </c>
      <c r="T39" s="66">
        <f t="shared" si="4"/>
        <v>1262859.7827999999</v>
      </c>
      <c r="U39" s="66">
        <f t="shared" si="5"/>
        <v>2320709.8606000002</v>
      </c>
      <c r="V39" s="66">
        <f t="shared" si="6"/>
        <v>705233.3851999999</v>
      </c>
      <c r="W39" s="66">
        <f t="shared" si="7"/>
        <v>1353064.0529999998</v>
      </c>
      <c r="X39" s="66">
        <f t="shared" si="8"/>
        <v>434620.57459999999</v>
      </c>
      <c r="Y39" s="66">
        <f t="shared" si="9"/>
        <v>524824.84480000008</v>
      </c>
      <c r="Z39" s="66">
        <f t="shared" si="10"/>
        <v>229610.86960000001</v>
      </c>
      <c r="AA39" s="66">
        <f t="shared" si="11"/>
        <v>418219.79820000002</v>
      </c>
      <c r="AB39" s="66">
        <f t="shared" si="12"/>
        <v>180408.5404</v>
      </c>
      <c r="AC39" s="62">
        <f>82003882/100000</f>
        <v>820.03881999999999</v>
      </c>
      <c r="AD39" s="91">
        <f t="shared" si="25"/>
        <v>1760</v>
      </c>
      <c r="AE39" s="90">
        <f t="shared" si="13"/>
        <v>1240</v>
      </c>
      <c r="AF39" s="90">
        <f t="shared" si="14"/>
        <v>2830.0000000000005</v>
      </c>
      <c r="AG39" s="90">
        <f t="shared" si="15"/>
        <v>1540</v>
      </c>
      <c r="AH39" s="90">
        <f t="shared" si="16"/>
        <v>2830.0000000000005</v>
      </c>
      <c r="AI39" s="90">
        <f t="shared" si="17"/>
        <v>859.99999999999989</v>
      </c>
      <c r="AJ39" s="90">
        <f t="shared" si="18"/>
        <v>1649.9999999999998</v>
      </c>
      <c r="AK39" s="90">
        <f t="shared" si="19"/>
        <v>530</v>
      </c>
      <c r="AL39" s="90">
        <f t="shared" si="20"/>
        <v>640.00000000000011</v>
      </c>
      <c r="AM39" s="90">
        <f t="shared" si="21"/>
        <v>280</v>
      </c>
      <c r="AN39" s="90">
        <f t="shared" si="22"/>
        <v>510.00000000000006</v>
      </c>
      <c r="AO39" s="90">
        <f t="shared" si="23"/>
        <v>220</v>
      </c>
      <c r="AQ39" s="53">
        <f t="shared" si="24"/>
        <v>1240.8333333333333</v>
      </c>
    </row>
    <row r="40" spans="1:43" ht="15.6" thickTop="1" thickBot="1" x14ac:dyDescent="0.35">
      <c r="A40" s="42" t="s">
        <v>42</v>
      </c>
      <c r="B40" s="44">
        <v>6.69</v>
      </c>
      <c r="C40" s="39">
        <v>4.84</v>
      </c>
      <c r="D40" s="41">
        <v>7.6</v>
      </c>
      <c r="E40" s="39">
        <v>14.49</v>
      </c>
      <c r="F40" s="39">
        <v>8.99</v>
      </c>
      <c r="G40" s="39">
        <v>8.9499999999999993</v>
      </c>
      <c r="H40" s="39">
        <v>7.38</v>
      </c>
      <c r="I40" s="39">
        <v>10.78</v>
      </c>
      <c r="J40" s="39">
        <v>2.99</v>
      </c>
      <c r="K40" s="39">
        <v>3.23</v>
      </c>
      <c r="L40" s="39">
        <v>4.76</v>
      </c>
      <c r="M40" s="41">
        <v>4</v>
      </c>
      <c r="N40" s="50">
        <f t="shared" si="0"/>
        <v>84.7</v>
      </c>
      <c r="O40" s="58"/>
      <c r="P40" s="62">
        <v>66647112</v>
      </c>
      <c r="Q40" s="64">
        <f t="shared" si="1"/>
        <v>4458691.7927999999</v>
      </c>
      <c r="R40" s="66">
        <f t="shared" si="2"/>
        <v>3225720.2207999998</v>
      </c>
      <c r="S40" s="66">
        <f t="shared" si="3"/>
        <v>5065180.5120000001</v>
      </c>
      <c r="T40" s="66">
        <f t="shared" si="4"/>
        <v>9657166.5287999995</v>
      </c>
      <c r="U40" s="66">
        <f t="shared" si="5"/>
        <v>5991575.3688000003</v>
      </c>
      <c r="V40" s="66">
        <f t="shared" si="6"/>
        <v>5964916.5240000002</v>
      </c>
      <c r="W40" s="66">
        <f t="shared" si="7"/>
        <v>4918556.8656000001</v>
      </c>
      <c r="X40" s="66">
        <f t="shared" si="8"/>
        <v>7184558.6736000003</v>
      </c>
      <c r="Y40" s="66">
        <f t="shared" si="9"/>
        <v>1992748.6488000003</v>
      </c>
      <c r="Z40" s="66">
        <f t="shared" si="10"/>
        <v>2152701.7176000001</v>
      </c>
      <c r="AA40" s="66">
        <f t="shared" si="11"/>
        <v>3172402.5312000001</v>
      </c>
      <c r="AB40" s="66">
        <f t="shared" si="12"/>
        <v>2665884.48</v>
      </c>
      <c r="AC40" s="62">
        <f>66647112/100000</f>
        <v>666.47112000000004</v>
      </c>
      <c r="AD40" s="91">
        <f t="shared" si="25"/>
        <v>6689.9999999999991</v>
      </c>
      <c r="AE40" s="90">
        <f t="shared" si="13"/>
        <v>4839.9999999999991</v>
      </c>
      <c r="AF40" s="90">
        <f t="shared" si="14"/>
        <v>7600</v>
      </c>
      <c r="AG40" s="90">
        <f t="shared" si="15"/>
        <v>14489.999999999998</v>
      </c>
      <c r="AH40" s="90">
        <f t="shared" si="16"/>
        <v>8990</v>
      </c>
      <c r="AI40" s="90">
        <f t="shared" si="17"/>
        <v>8950</v>
      </c>
      <c r="AJ40" s="90">
        <f t="shared" si="18"/>
        <v>7380</v>
      </c>
      <c r="AK40" s="90">
        <f t="shared" si="19"/>
        <v>10780</v>
      </c>
      <c r="AL40" s="90">
        <f t="shared" si="20"/>
        <v>2990.0000000000005</v>
      </c>
      <c r="AM40" s="90">
        <f t="shared" si="21"/>
        <v>3230</v>
      </c>
      <c r="AN40" s="90">
        <f t="shared" si="22"/>
        <v>4760</v>
      </c>
      <c r="AO40" s="90">
        <f t="shared" si="23"/>
        <v>3999.9999999999995</v>
      </c>
      <c r="AQ40" s="53">
        <f t="shared" si="24"/>
        <v>7058.333333333333</v>
      </c>
    </row>
    <row r="41" spans="1:43" ht="27.6" customHeight="1" thickTop="1" x14ac:dyDescent="0.3">
      <c r="P41" s="60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0" t="s">
        <v>109</v>
      </c>
      <c r="AD41" s="53">
        <f>SUM(AD3:AD40)</f>
        <v>107032.05882352941</v>
      </c>
      <c r="AE41" s="92">
        <f>SUM(AE3:AE40)</f>
        <v>86842.666666666672</v>
      </c>
      <c r="AF41" s="92">
        <f>SUM(AF3:AF40)</f>
        <v>106204.24242424243</v>
      </c>
      <c r="AG41" s="92">
        <f t="shared" ref="AG41:AO41" si="26">SUM(AG3:AG40)</f>
        <v>99157.647058823524</v>
      </c>
      <c r="AH41" s="92">
        <f t="shared" si="26"/>
        <v>118560</v>
      </c>
      <c r="AI41" s="92">
        <f t="shared" si="26"/>
        <v>106470.58823529411</v>
      </c>
      <c r="AJ41" s="92">
        <f t="shared" si="26"/>
        <v>105249.44444444444</v>
      </c>
      <c r="AK41" s="92">
        <f t="shared" si="26"/>
        <v>102152.94117647059</v>
      </c>
      <c r="AL41" s="92">
        <f t="shared" si="26"/>
        <v>85551.818181818177</v>
      </c>
      <c r="AM41" s="92">
        <f t="shared" si="26"/>
        <v>50526.666666666664</v>
      </c>
      <c r="AN41" s="92">
        <f t="shared" si="26"/>
        <v>66860.625</v>
      </c>
      <c r="AO41" s="92">
        <f t="shared" si="26"/>
        <v>42110.34482758621</v>
      </c>
    </row>
    <row r="42" spans="1:43" ht="22.8" customHeight="1" x14ac:dyDescent="0.3">
      <c r="P42" s="6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67" t="s">
        <v>110</v>
      </c>
      <c r="AD42" s="93">
        <f>COUNT(AD3:AD40)</f>
        <v>38</v>
      </c>
      <c r="AE42" s="93">
        <f t="shared" ref="AE42:AO42" si="27">COUNT(AE3:AE40)</f>
        <v>38</v>
      </c>
      <c r="AF42" s="93">
        <f t="shared" si="27"/>
        <v>38</v>
      </c>
      <c r="AG42" s="93">
        <f t="shared" si="27"/>
        <v>38</v>
      </c>
      <c r="AH42" s="93">
        <f t="shared" si="27"/>
        <v>38</v>
      </c>
      <c r="AI42" s="93">
        <f t="shared" si="27"/>
        <v>38</v>
      </c>
      <c r="AJ42" s="93">
        <f t="shared" si="27"/>
        <v>38</v>
      </c>
      <c r="AK42" s="93">
        <f t="shared" si="27"/>
        <v>38</v>
      </c>
      <c r="AL42" s="93">
        <f t="shared" si="27"/>
        <v>38</v>
      </c>
      <c r="AM42" s="93">
        <f t="shared" si="27"/>
        <v>38</v>
      </c>
      <c r="AN42" s="93">
        <f t="shared" si="27"/>
        <v>38</v>
      </c>
      <c r="AO42" s="93">
        <f t="shared" si="27"/>
        <v>38</v>
      </c>
    </row>
    <row r="43" spans="1:43" ht="26.4" customHeight="1" x14ac:dyDescent="0.3">
      <c r="AC43" s="56" t="s">
        <v>111</v>
      </c>
      <c r="AD43">
        <v>2744.4117647058824</v>
      </c>
      <c r="AE43">
        <f>AE41/AE42</f>
        <v>2285.3333333333335</v>
      </c>
      <c r="AF43">
        <v>2794.848484848485</v>
      </c>
      <c r="AG43">
        <f t="shared" ref="AG43:AO43" si="28">AG41/AG42</f>
        <v>2609.4117647058824</v>
      </c>
      <c r="AH43">
        <v>3120</v>
      </c>
      <c r="AI43">
        <v>2661.7647058823532</v>
      </c>
      <c r="AJ43">
        <f t="shared" si="28"/>
        <v>2769.7222222222222</v>
      </c>
      <c r="AK43">
        <f t="shared" si="28"/>
        <v>2688.2352941176468</v>
      </c>
      <c r="AL43">
        <f t="shared" si="28"/>
        <v>2251.363636363636</v>
      </c>
      <c r="AM43">
        <f t="shared" si="28"/>
        <v>1329.6491228070174</v>
      </c>
      <c r="AN43">
        <f t="shared" si="28"/>
        <v>1759.4901315789473</v>
      </c>
      <c r="AO43">
        <f t="shared" si="28"/>
        <v>1108.1669691470056</v>
      </c>
    </row>
    <row r="44" spans="1:43" ht="40.799999999999997" customHeight="1" x14ac:dyDescent="0.3">
      <c r="AC44" s="110" t="s">
        <v>114</v>
      </c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</row>
  </sheetData>
  <mergeCells count="1">
    <mergeCell ref="AC44:AO44"/>
  </mergeCells>
  <conditionalFormatting sqref="O2:O104857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AB4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2:AB42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43:AO43 AD1:AD40 AD45:AD104857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45:AE1048576 AE1:AE40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:AF2 AF45:AF1048576 AF27:AF40 AF22:AF25 AF20 AF11:AF18 AF4:AF9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G1048576 AG1:AG40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:AH2 AH45:AH1048576 AH34:AH40 AH27:AH32 AH7:AH25 AH4:AH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:AI2 AI45:AI1048576 AI27 AI20:AI22 AI7:AI18 AI4:AI5 AI24:AI25 AI29:AI4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45:AJ1048576 AJ1:AJ4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:AK1048576 AK1:AK4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45:AL1048576 AL1:AL40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45:AM1048576 AM1:AM4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45:AN1048576 AN1:AN4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45:AO1048576 AO1:AO40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1:AQ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1"/>
  <sheetViews>
    <sheetView zoomScale="47" zoomScaleNormal="70" workbookViewId="0"/>
  </sheetViews>
  <sheetFormatPr defaultRowHeight="14.4" x14ac:dyDescent="0.3"/>
  <cols>
    <col min="1" max="1" width="43.88671875" customWidth="1"/>
    <col min="2" max="7" width="14.33203125" style="19" customWidth="1"/>
    <col min="8" max="8" width="10.6640625" style="54" customWidth="1"/>
    <col min="9" max="14" width="13.109375" customWidth="1"/>
    <col min="15" max="15" width="13.6640625" customWidth="1"/>
    <col min="23" max="23" width="10.44140625" customWidth="1"/>
  </cols>
  <sheetData>
    <row r="1" spans="1:23" x14ac:dyDescent="0.3">
      <c r="B1" s="5" t="s">
        <v>60</v>
      </c>
      <c r="C1" s="5" t="s">
        <v>60</v>
      </c>
      <c r="D1" s="5" t="s">
        <v>60</v>
      </c>
      <c r="E1" s="5" t="s">
        <v>60</v>
      </c>
      <c r="F1" s="5" t="s">
        <v>60</v>
      </c>
      <c r="G1" s="5" t="s">
        <v>60</v>
      </c>
      <c r="H1" s="88" t="s">
        <v>105</v>
      </c>
      <c r="I1" s="88" t="s">
        <v>105</v>
      </c>
      <c r="J1" s="88" t="s">
        <v>105</v>
      </c>
      <c r="K1" s="88" t="s">
        <v>105</v>
      </c>
      <c r="L1" s="88" t="s">
        <v>105</v>
      </c>
      <c r="M1" s="88" t="s">
        <v>105</v>
      </c>
      <c r="N1" s="88" t="s">
        <v>105</v>
      </c>
      <c r="O1" s="88" t="s">
        <v>125</v>
      </c>
    </row>
    <row r="2" spans="1:23" ht="55.2" customHeight="1" x14ac:dyDescent="0.3">
      <c r="A2" s="68" t="s">
        <v>63</v>
      </c>
      <c r="B2" s="69" t="s">
        <v>77</v>
      </c>
      <c r="C2" s="69" t="s">
        <v>78</v>
      </c>
      <c r="D2" s="69" t="s">
        <v>79</v>
      </c>
      <c r="E2" s="69" t="s">
        <v>80</v>
      </c>
      <c r="F2" s="69" t="s">
        <v>81</v>
      </c>
      <c r="G2" s="69" t="s">
        <v>82</v>
      </c>
      <c r="H2" s="70" t="s">
        <v>104</v>
      </c>
      <c r="I2" s="71" t="s">
        <v>106</v>
      </c>
      <c r="J2" s="71" t="s">
        <v>115</v>
      </c>
      <c r="K2" s="71" t="s">
        <v>107</v>
      </c>
      <c r="L2" s="71" t="s">
        <v>116</v>
      </c>
      <c r="M2" s="71" t="s">
        <v>117</v>
      </c>
      <c r="N2" s="72" t="s">
        <v>118</v>
      </c>
      <c r="O2" s="61" t="s">
        <v>128</v>
      </c>
      <c r="P2" s="71" t="s">
        <v>124</v>
      </c>
      <c r="Q2" s="71" t="s">
        <v>119</v>
      </c>
      <c r="R2" s="71" t="s">
        <v>120</v>
      </c>
      <c r="S2" s="71" t="s">
        <v>121</v>
      </c>
      <c r="T2" s="71" t="s">
        <v>122</v>
      </c>
      <c r="U2" s="72" t="s">
        <v>123</v>
      </c>
      <c r="W2" s="19" t="s">
        <v>127</v>
      </c>
    </row>
    <row r="3" spans="1:23" x14ac:dyDescent="0.3">
      <c r="A3" s="73" t="s">
        <v>46</v>
      </c>
      <c r="B3" s="74">
        <v>0</v>
      </c>
      <c r="C3" s="74">
        <v>0</v>
      </c>
      <c r="D3" s="75">
        <v>1.92</v>
      </c>
      <c r="E3" s="75">
        <v>0.52</v>
      </c>
      <c r="F3" s="75">
        <v>5.08</v>
      </c>
      <c r="G3" s="75">
        <v>0.76</v>
      </c>
      <c r="H3" s="76">
        <v>2862427</v>
      </c>
      <c r="I3" s="77"/>
      <c r="J3" s="77"/>
      <c r="K3" s="77">
        <f t="shared" ref="K3:K15" si="0">H3*D3/100</f>
        <v>54958.598399999995</v>
      </c>
      <c r="L3" s="77">
        <f t="shared" ref="L3:L15" si="1">H3*E3/100</f>
        <v>14884.6204</v>
      </c>
      <c r="M3" s="77">
        <f t="shared" ref="M3:M32" si="2">H3*F3/100</f>
        <v>145411.2916</v>
      </c>
      <c r="N3" s="78">
        <f t="shared" ref="N3:N27" si="3">H3*G3/100</f>
        <v>21754.445200000002</v>
      </c>
      <c r="O3" s="62">
        <f>2862427/100000</f>
        <v>28.624269999999999</v>
      </c>
      <c r="P3" s="96">
        <v>1596</v>
      </c>
      <c r="Q3" s="96">
        <v>966</v>
      </c>
      <c r="R3" s="100">
        <f t="shared" ref="R3:R40" si="4">K3/O3</f>
        <v>1920</v>
      </c>
      <c r="S3" s="100">
        <f t="shared" ref="S3:S40" si="5">L3/O3</f>
        <v>520</v>
      </c>
      <c r="T3" s="100">
        <f t="shared" ref="T3:T40" si="6">M3/O3</f>
        <v>5080</v>
      </c>
      <c r="U3" s="100">
        <f t="shared" ref="U3:U40" si="7">N3/O3</f>
        <v>760.00000000000011</v>
      </c>
      <c r="W3" s="53">
        <f>AVERAGE(Táblázat6[[#This Row],[Males with low formal education3]:[Females with high formal education27]])</f>
        <v>1807</v>
      </c>
    </row>
    <row r="4" spans="1:23" x14ac:dyDescent="0.3">
      <c r="A4" s="73" t="s">
        <v>31</v>
      </c>
      <c r="B4" s="79">
        <v>1.88</v>
      </c>
      <c r="C4" s="79">
        <v>1.75</v>
      </c>
      <c r="D4" s="80">
        <v>2.7</v>
      </c>
      <c r="E4" s="79">
        <v>0.92</v>
      </c>
      <c r="F4" s="79">
        <v>2.67</v>
      </c>
      <c r="G4" s="80">
        <v>2.2000000000000002</v>
      </c>
      <c r="H4" s="76">
        <v>8858775</v>
      </c>
      <c r="I4" s="77">
        <f t="shared" ref="I4:I9" si="8">H4*B4/100</f>
        <v>166544.96999999997</v>
      </c>
      <c r="J4" s="77">
        <f t="shared" ref="J4:J15" si="9">H4*C4/100</f>
        <v>155028.5625</v>
      </c>
      <c r="K4" s="77">
        <f t="shared" si="0"/>
        <v>239186.92499999999</v>
      </c>
      <c r="L4" s="77">
        <f t="shared" si="1"/>
        <v>81500.73</v>
      </c>
      <c r="M4" s="77">
        <f t="shared" si="2"/>
        <v>236529.29250000001</v>
      </c>
      <c r="N4" s="78">
        <f t="shared" si="3"/>
        <v>194893.05</v>
      </c>
      <c r="O4" s="62">
        <f>8858775/100000</f>
        <v>88.58775</v>
      </c>
      <c r="P4" s="77">
        <f t="shared" ref="P4:P40" si="10">I4/O4</f>
        <v>1879.9999999999998</v>
      </c>
      <c r="Q4" s="77">
        <f t="shared" ref="Q4:Q40" si="11">J4/O4</f>
        <v>1750</v>
      </c>
      <c r="R4" s="77">
        <f t="shared" si="4"/>
        <v>2700</v>
      </c>
      <c r="S4" s="77">
        <f t="shared" si="5"/>
        <v>920</v>
      </c>
      <c r="T4" s="77">
        <f t="shared" si="6"/>
        <v>2670</v>
      </c>
      <c r="U4" s="77">
        <f t="shared" si="7"/>
        <v>2200</v>
      </c>
      <c r="W4" s="53">
        <f>AVERAGE(Táblázat6[[#This Row],[Males with low formal education3]:[Females with high formal education27]])</f>
        <v>2020</v>
      </c>
    </row>
    <row r="5" spans="1:23" x14ac:dyDescent="0.3">
      <c r="A5" s="73" t="s">
        <v>12</v>
      </c>
      <c r="B5" s="75">
        <v>1.92</v>
      </c>
      <c r="C5" s="75">
        <v>1.32</v>
      </c>
      <c r="D5" s="75">
        <v>2.34</v>
      </c>
      <c r="E5" s="81">
        <v>2</v>
      </c>
      <c r="F5" s="75">
        <v>3.81</v>
      </c>
      <c r="G5" s="75">
        <v>3.43</v>
      </c>
      <c r="H5" s="76">
        <v>11455519</v>
      </c>
      <c r="I5" s="77">
        <f t="shared" si="8"/>
        <v>219945.96480000002</v>
      </c>
      <c r="J5" s="77">
        <f t="shared" si="9"/>
        <v>151212.85080000001</v>
      </c>
      <c r="K5" s="77">
        <f t="shared" si="0"/>
        <v>268059.1446</v>
      </c>
      <c r="L5" s="77">
        <f t="shared" si="1"/>
        <v>229110.38</v>
      </c>
      <c r="M5" s="77">
        <f t="shared" si="2"/>
        <v>436455.27390000003</v>
      </c>
      <c r="N5" s="78">
        <f t="shared" si="3"/>
        <v>392924.30170000001</v>
      </c>
      <c r="O5" s="62">
        <f>11455519/100000</f>
        <v>114.55519</v>
      </c>
      <c r="P5" s="77">
        <f t="shared" si="10"/>
        <v>1920.0000000000002</v>
      </c>
      <c r="Q5" s="77">
        <f t="shared" si="11"/>
        <v>1320.0000000000002</v>
      </c>
      <c r="R5" s="77">
        <f t="shared" si="4"/>
        <v>2340</v>
      </c>
      <c r="S5" s="77">
        <f t="shared" si="5"/>
        <v>2000</v>
      </c>
      <c r="T5" s="77">
        <f t="shared" si="6"/>
        <v>3810.0000000000005</v>
      </c>
      <c r="U5" s="77">
        <f t="shared" si="7"/>
        <v>3430</v>
      </c>
      <c r="W5" s="53">
        <f>AVERAGE(Táblázat6[[#This Row],[Males with low formal education3]:[Females with high formal education27]])</f>
        <v>2470</v>
      </c>
    </row>
    <row r="6" spans="1:23" x14ac:dyDescent="0.3">
      <c r="A6" s="73" t="s">
        <v>43</v>
      </c>
      <c r="B6" s="79">
        <v>3.37</v>
      </c>
      <c r="C6" s="79">
        <v>0.47</v>
      </c>
      <c r="D6" s="79">
        <v>4.12</v>
      </c>
      <c r="E6" s="79">
        <v>7.86</v>
      </c>
      <c r="F6" s="80">
        <v>11.2</v>
      </c>
      <c r="G6" s="79">
        <v>9.48</v>
      </c>
      <c r="H6" s="76">
        <v>3492018</v>
      </c>
      <c r="I6" s="77">
        <f t="shared" si="8"/>
        <v>117681.00660000001</v>
      </c>
      <c r="J6" s="77">
        <f t="shared" si="9"/>
        <v>16412.4846</v>
      </c>
      <c r="K6" s="77">
        <f t="shared" si="0"/>
        <v>143871.1416</v>
      </c>
      <c r="L6" s="77">
        <f t="shared" si="1"/>
        <v>274472.61479999998</v>
      </c>
      <c r="M6" s="77">
        <f t="shared" si="2"/>
        <v>391106.01599999995</v>
      </c>
      <c r="N6" s="78">
        <f t="shared" si="3"/>
        <v>331043.3064</v>
      </c>
      <c r="O6" s="62">
        <f>3492018/100000</f>
        <v>34.920180000000002</v>
      </c>
      <c r="P6" s="77">
        <f t="shared" si="10"/>
        <v>3370</v>
      </c>
      <c r="Q6" s="77">
        <f t="shared" si="11"/>
        <v>469.99999999999994</v>
      </c>
      <c r="R6" s="77">
        <f t="shared" si="4"/>
        <v>4120</v>
      </c>
      <c r="S6" s="77">
        <f t="shared" si="5"/>
        <v>7859.9999999999991</v>
      </c>
      <c r="T6" s="77">
        <f t="shared" si="6"/>
        <v>11199.999999999998</v>
      </c>
      <c r="U6" s="77">
        <f t="shared" si="7"/>
        <v>9480</v>
      </c>
      <c r="W6" s="53">
        <f>AVERAGE(Táblázat6[[#This Row],[Males with low formal education3]:[Females with high formal education27]])</f>
        <v>6083.333333333333</v>
      </c>
    </row>
    <row r="7" spans="1:23" x14ac:dyDescent="0.3">
      <c r="A7" s="73" t="s">
        <v>13</v>
      </c>
      <c r="B7" s="79">
        <v>0.92</v>
      </c>
      <c r="C7" s="79">
        <v>1.23</v>
      </c>
      <c r="D7" s="79">
        <v>2.58</v>
      </c>
      <c r="E7" s="79">
        <v>1.26</v>
      </c>
      <c r="F7" s="79">
        <v>3.76</v>
      </c>
      <c r="G7" s="79">
        <v>1.83</v>
      </c>
      <c r="H7" s="76">
        <v>7000039</v>
      </c>
      <c r="I7" s="77">
        <f t="shared" si="8"/>
        <v>64400.358800000002</v>
      </c>
      <c r="J7" s="77">
        <f t="shared" si="9"/>
        <v>86100.479700000011</v>
      </c>
      <c r="K7" s="77">
        <f t="shared" si="0"/>
        <v>180601.0062</v>
      </c>
      <c r="L7" s="77">
        <f t="shared" si="1"/>
        <v>88200.491399999999</v>
      </c>
      <c r="M7" s="77">
        <f t="shared" si="2"/>
        <v>263201.46639999998</v>
      </c>
      <c r="N7" s="78">
        <f t="shared" si="3"/>
        <v>128100.71370000001</v>
      </c>
      <c r="O7" s="62">
        <f>7000039/100000</f>
        <v>70.000389999999996</v>
      </c>
      <c r="P7" s="77">
        <f t="shared" si="10"/>
        <v>920.00000000000011</v>
      </c>
      <c r="Q7" s="77">
        <f t="shared" si="11"/>
        <v>1230.0000000000002</v>
      </c>
      <c r="R7" s="77">
        <f t="shared" si="4"/>
        <v>2580</v>
      </c>
      <c r="S7" s="77">
        <f t="shared" si="5"/>
        <v>1260</v>
      </c>
      <c r="T7" s="77">
        <f t="shared" si="6"/>
        <v>3760</v>
      </c>
      <c r="U7" s="77">
        <f t="shared" si="7"/>
        <v>1830.0000000000002</v>
      </c>
      <c r="W7" s="53">
        <f>AVERAGE(Táblázat6[[#This Row],[Males with low formal education3]:[Females with high formal education27]])</f>
        <v>1930</v>
      </c>
    </row>
    <row r="8" spans="1:23" x14ac:dyDescent="0.3">
      <c r="A8" s="73" t="s">
        <v>22</v>
      </c>
      <c r="B8" s="75">
        <v>4.96</v>
      </c>
      <c r="C8" s="75">
        <v>4.01</v>
      </c>
      <c r="D8" s="75">
        <v>5.13</v>
      </c>
      <c r="E8" s="75">
        <v>5.21</v>
      </c>
      <c r="F8" s="75">
        <v>6.77</v>
      </c>
      <c r="G8" s="75">
        <v>6.25</v>
      </c>
      <c r="H8" s="76">
        <v>4076246</v>
      </c>
      <c r="I8" s="77">
        <f t="shared" si="8"/>
        <v>202181.80160000001</v>
      </c>
      <c r="J8" s="77">
        <f t="shared" si="9"/>
        <v>163457.46459999998</v>
      </c>
      <c r="K8" s="77">
        <f t="shared" si="0"/>
        <v>209111.4198</v>
      </c>
      <c r="L8" s="77">
        <f t="shared" si="1"/>
        <v>212372.4166</v>
      </c>
      <c r="M8" s="77">
        <f t="shared" si="2"/>
        <v>275961.8542</v>
      </c>
      <c r="N8" s="78">
        <f t="shared" si="3"/>
        <v>254765.375</v>
      </c>
      <c r="O8" s="62">
        <f>4076246/100000</f>
        <v>40.762459999999997</v>
      </c>
      <c r="P8" s="77">
        <f t="shared" si="10"/>
        <v>4960.0000000000009</v>
      </c>
      <c r="Q8" s="77">
        <f t="shared" si="11"/>
        <v>4009.9999999999995</v>
      </c>
      <c r="R8" s="77">
        <f t="shared" si="4"/>
        <v>5130</v>
      </c>
      <c r="S8" s="77">
        <f t="shared" si="5"/>
        <v>5210</v>
      </c>
      <c r="T8" s="77">
        <f t="shared" si="6"/>
        <v>6770.0000000000009</v>
      </c>
      <c r="U8" s="77">
        <f t="shared" si="7"/>
        <v>6250</v>
      </c>
      <c r="W8" s="53">
        <f>AVERAGE(Táblázat6[[#This Row],[Males with low formal education3]:[Females with high formal education27]])</f>
        <v>5388.333333333333</v>
      </c>
    </row>
    <row r="9" spans="1:23" x14ac:dyDescent="0.3">
      <c r="A9" s="73" t="s">
        <v>24</v>
      </c>
      <c r="B9" s="81">
        <v>1.4</v>
      </c>
      <c r="C9" s="81">
        <v>0.5</v>
      </c>
      <c r="D9" s="81">
        <v>2.2000000000000002</v>
      </c>
      <c r="E9" s="75">
        <v>2.02</v>
      </c>
      <c r="F9" s="75">
        <v>4.08</v>
      </c>
      <c r="G9" s="75">
        <v>3.18</v>
      </c>
      <c r="H9" s="76">
        <v>875899</v>
      </c>
      <c r="I9" s="77">
        <f t="shared" si="8"/>
        <v>12262.585999999999</v>
      </c>
      <c r="J9" s="77">
        <f t="shared" si="9"/>
        <v>4379.4949999999999</v>
      </c>
      <c r="K9" s="77">
        <f t="shared" si="0"/>
        <v>19269.778000000002</v>
      </c>
      <c r="L9" s="77">
        <f t="shared" si="1"/>
        <v>17693.159800000001</v>
      </c>
      <c r="M9" s="77">
        <f t="shared" si="2"/>
        <v>35736.679199999999</v>
      </c>
      <c r="N9" s="78">
        <f t="shared" si="3"/>
        <v>27853.588200000002</v>
      </c>
      <c r="O9" s="62">
        <f>875899/100000</f>
        <v>8.7589900000000007</v>
      </c>
      <c r="P9" s="77">
        <f t="shared" si="10"/>
        <v>1399.9999999999998</v>
      </c>
      <c r="Q9" s="77">
        <f t="shared" si="11"/>
        <v>499.99999999999994</v>
      </c>
      <c r="R9" s="77">
        <f t="shared" si="4"/>
        <v>2200</v>
      </c>
      <c r="S9" s="77">
        <f t="shared" si="5"/>
        <v>2020</v>
      </c>
      <c r="T9" s="77">
        <f t="shared" si="6"/>
        <v>4079.9999999999995</v>
      </c>
      <c r="U9" s="77">
        <f t="shared" si="7"/>
        <v>3180</v>
      </c>
      <c r="W9" s="53">
        <f>AVERAGE(Táblázat6[[#This Row],[Males with low formal education3]:[Females with high formal education27]])</f>
        <v>2230</v>
      </c>
    </row>
    <row r="10" spans="1:23" x14ac:dyDescent="0.3">
      <c r="A10" s="73" t="s">
        <v>14</v>
      </c>
      <c r="B10" s="74">
        <v>0</v>
      </c>
      <c r="C10" s="75">
        <v>0.09</v>
      </c>
      <c r="D10" s="75">
        <v>0.67</v>
      </c>
      <c r="E10" s="75">
        <v>0.54</v>
      </c>
      <c r="F10" s="75">
        <v>0.21</v>
      </c>
      <c r="G10" s="75">
        <v>0.66</v>
      </c>
      <c r="H10" s="76">
        <v>10649800</v>
      </c>
      <c r="I10" s="77"/>
      <c r="J10" s="77">
        <f t="shared" si="9"/>
        <v>9584.82</v>
      </c>
      <c r="K10" s="77">
        <f t="shared" si="0"/>
        <v>71353.66</v>
      </c>
      <c r="L10" s="77">
        <f t="shared" si="1"/>
        <v>57508.92</v>
      </c>
      <c r="M10" s="77">
        <f t="shared" si="2"/>
        <v>22364.58</v>
      </c>
      <c r="N10" s="78">
        <f t="shared" si="3"/>
        <v>70288.679999999993</v>
      </c>
      <c r="O10" s="62">
        <f>10649800/100000</f>
        <v>106.498</v>
      </c>
      <c r="P10" s="96">
        <v>1596</v>
      </c>
      <c r="Q10" s="77">
        <f t="shared" si="11"/>
        <v>90</v>
      </c>
      <c r="R10" s="77">
        <f t="shared" si="4"/>
        <v>670</v>
      </c>
      <c r="S10" s="77">
        <f t="shared" si="5"/>
        <v>540</v>
      </c>
      <c r="T10" s="77">
        <f t="shared" si="6"/>
        <v>210</v>
      </c>
      <c r="U10" s="77">
        <f t="shared" si="7"/>
        <v>659.99999999999989</v>
      </c>
      <c r="W10" s="53">
        <f>AVERAGE(Táblázat6[[#This Row],[Males with low formal education3]:[Females with high formal education27]])</f>
        <v>627.66666666666663</v>
      </c>
    </row>
    <row r="11" spans="1:23" x14ac:dyDescent="0.3">
      <c r="A11" s="73" t="s">
        <v>15</v>
      </c>
      <c r="B11" s="82">
        <v>0</v>
      </c>
      <c r="C11" s="79">
        <v>0.71</v>
      </c>
      <c r="D11" s="79">
        <v>0.62</v>
      </c>
      <c r="E11" s="79">
        <v>0.56000000000000005</v>
      </c>
      <c r="F11" s="79">
        <v>0.79</v>
      </c>
      <c r="G11" s="79">
        <v>0.61</v>
      </c>
      <c r="H11" s="76">
        <v>5806081</v>
      </c>
      <c r="I11" s="77"/>
      <c r="J11" s="77">
        <f t="shared" si="9"/>
        <v>41223.1751</v>
      </c>
      <c r="K11" s="77">
        <f t="shared" si="0"/>
        <v>35997.7022</v>
      </c>
      <c r="L11" s="77">
        <f t="shared" si="1"/>
        <v>32514.053600000003</v>
      </c>
      <c r="M11" s="77">
        <f t="shared" si="2"/>
        <v>45868.039900000003</v>
      </c>
      <c r="N11" s="78">
        <f t="shared" si="3"/>
        <v>35417.094100000002</v>
      </c>
      <c r="O11" s="62">
        <f>5806081/100000</f>
        <v>58.060809999999996</v>
      </c>
      <c r="P11" s="96">
        <v>1596</v>
      </c>
      <c r="Q11" s="77">
        <f t="shared" si="11"/>
        <v>710</v>
      </c>
      <c r="R11" s="77">
        <f t="shared" si="4"/>
        <v>620</v>
      </c>
      <c r="S11" s="77">
        <f t="shared" si="5"/>
        <v>560.00000000000011</v>
      </c>
      <c r="T11" s="77">
        <f t="shared" si="6"/>
        <v>790.00000000000011</v>
      </c>
      <c r="U11" s="77">
        <f t="shared" si="7"/>
        <v>610.00000000000011</v>
      </c>
      <c r="W11" s="53">
        <f>AVERAGE(Táblázat6[[#This Row],[Males with low formal education3]:[Females with high formal education27]])</f>
        <v>814.33333333333337</v>
      </c>
    </row>
    <row r="12" spans="1:23" x14ac:dyDescent="0.3">
      <c r="A12" s="73" t="s">
        <v>17</v>
      </c>
      <c r="B12" s="79">
        <v>0.22</v>
      </c>
      <c r="C12" s="79">
        <v>0.28999999999999998</v>
      </c>
      <c r="D12" s="79">
        <v>0.94</v>
      </c>
      <c r="E12" s="80">
        <v>0.8</v>
      </c>
      <c r="F12" s="79">
        <v>1.73</v>
      </c>
      <c r="G12" s="79">
        <v>2.04</v>
      </c>
      <c r="H12" s="76">
        <v>1324820</v>
      </c>
      <c r="I12" s="77">
        <f>H12*B12/100</f>
        <v>2914.6040000000003</v>
      </c>
      <c r="J12" s="77">
        <f t="shared" si="9"/>
        <v>3841.9780000000001</v>
      </c>
      <c r="K12" s="77">
        <f t="shared" si="0"/>
        <v>12453.307999999997</v>
      </c>
      <c r="L12" s="77">
        <f t="shared" si="1"/>
        <v>10598.56</v>
      </c>
      <c r="M12" s="77">
        <f t="shared" si="2"/>
        <v>22919.386000000002</v>
      </c>
      <c r="N12" s="78">
        <f t="shared" si="3"/>
        <v>27026.328000000001</v>
      </c>
      <c r="O12" s="62">
        <f>1324820/100000</f>
        <v>13.248200000000001</v>
      </c>
      <c r="P12" s="77">
        <f t="shared" si="10"/>
        <v>220</v>
      </c>
      <c r="Q12" s="77">
        <f t="shared" si="11"/>
        <v>290</v>
      </c>
      <c r="R12" s="77">
        <f t="shared" si="4"/>
        <v>939.99999999999977</v>
      </c>
      <c r="S12" s="77">
        <f t="shared" si="5"/>
        <v>799.99999999999989</v>
      </c>
      <c r="T12" s="77">
        <f t="shared" si="6"/>
        <v>1730</v>
      </c>
      <c r="U12" s="77">
        <f t="shared" si="7"/>
        <v>2040</v>
      </c>
      <c r="W12" s="53">
        <f>AVERAGE(Táblázat6[[#This Row],[Males with low formal education3]:[Females with high formal education27]])</f>
        <v>1003.3333333333334</v>
      </c>
    </row>
    <row r="13" spans="1:23" x14ac:dyDescent="0.3">
      <c r="A13" s="73" t="s">
        <v>37</v>
      </c>
      <c r="B13" s="82">
        <v>0</v>
      </c>
      <c r="C13" s="80">
        <v>0.4</v>
      </c>
      <c r="D13" s="80">
        <v>1.6</v>
      </c>
      <c r="E13" s="80">
        <v>1.1000000000000001</v>
      </c>
      <c r="F13" s="79">
        <v>3.73</v>
      </c>
      <c r="G13" s="79">
        <v>1.26</v>
      </c>
      <c r="H13" s="76">
        <v>5517919</v>
      </c>
      <c r="I13" s="77"/>
      <c r="J13" s="77">
        <f t="shared" si="9"/>
        <v>22071.675999999999</v>
      </c>
      <c r="K13" s="77">
        <f t="shared" si="0"/>
        <v>88286.703999999998</v>
      </c>
      <c r="L13" s="77">
        <f t="shared" si="1"/>
        <v>60697.109000000004</v>
      </c>
      <c r="M13" s="77">
        <f t="shared" si="2"/>
        <v>205818.3787</v>
      </c>
      <c r="N13" s="78">
        <f t="shared" si="3"/>
        <v>69525.779399999999</v>
      </c>
      <c r="O13" s="62">
        <f>5517919/100000</f>
        <v>55.179189999999998</v>
      </c>
      <c r="P13" s="96">
        <v>1596</v>
      </c>
      <c r="Q13" s="77">
        <f t="shared" si="11"/>
        <v>400</v>
      </c>
      <c r="R13" s="77">
        <f t="shared" si="4"/>
        <v>1600</v>
      </c>
      <c r="S13" s="77">
        <f t="shared" si="5"/>
        <v>1100</v>
      </c>
      <c r="T13" s="77">
        <f t="shared" si="6"/>
        <v>3730</v>
      </c>
      <c r="U13" s="77">
        <f t="shared" si="7"/>
        <v>1260</v>
      </c>
      <c r="W13" s="53">
        <f>AVERAGE(Táblázat6[[#This Row],[Males with low formal education3]:[Females with high formal education27]])</f>
        <v>1614.3333333333333</v>
      </c>
    </row>
    <row r="14" spans="1:23" x14ac:dyDescent="0.3">
      <c r="A14" s="73" t="s">
        <v>21</v>
      </c>
      <c r="B14" s="79">
        <v>2.39</v>
      </c>
      <c r="C14" s="79">
        <v>1.39</v>
      </c>
      <c r="D14" s="79">
        <v>3.67</v>
      </c>
      <c r="E14" s="79">
        <v>2.93</v>
      </c>
      <c r="F14" s="79">
        <v>5.07</v>
      </c>
      <c r="G14" s="79">
        <v>3.79</v>
      </c>
      <c r="H14" s="76">
        <v>67290471</v>
      </c>
      <c r="I14" s="77">
        <f t="shared" ref="I14:I19" si="12">H14*B14/100</f>
        <v>1608242.2568999999</v>
      </c>
      <c r="J14" s="77">
        <f t="shared" si="9"/>
        <v>935337.54689999996</v>
      </c>
      <c r="K14" s="77">
        <f t="shared" si="0"/>
        <v>2469560.2856999999</v>
      </c>
      <c r="L14" s="77">
        <f t="shared" si="1"/>
        <v>1971610.8003</v>
      </c>
      <c r="M14" s="77">
        <f t="shared" si="2"/>
        <v>3411626.8797000004</v>
      </c>
      <c r="N14" s="78">
        <f t="shared" si="3"/>
        <v>2550308.8509</v>
      </c>
      <c r="O14" s="62">
        <f>67290471/100000</f>
        <v>672.90471000000002</v>
      </c>
      <c r="P14" s="77">
        <f t="shared" si="10"/>
        <v>2390</v>
      </c>
      <c r="Q14" s="77">
        <f t="shared" si="11"/>
        <v>1390</v>
      </c>
      <c r="R14" s="77">
        <f t="shared" si="4"/>
        <v>3669.9999999999995</v>
      </c>
      <c r="S14" s="77">
        <f t="shared" si="5"/>
        <v>2930</v>
      </c>
      <c r="T14" s="77">
        <f t="shared" si="6"/>
        <v>5070</v>
      </c>
      <c r="U14" s="77">
        <f t="shared" si="7"/>
        <v>3790</v>
      </c>
      <c r="W14" s="53">
        <f>AVERAGE(Táblázat6[[#This Row],[Males with low formal education3]:[Females with high formal education27]])</f>
        <v>3206.6666666666665</v>
      </c>
    </row>
    <row r="15" spans="1:23" x14ac:dyDescent="0.3">
      <c r="A15" s="73" t="s">
        <v>16</v>
      </c>
      <c r="B15" s="75">
        <v>4.8099999999999996</v>
      </c>
      <c r="C15" s="75">
        <v>4.49</v>
      </c>
      <c r="D15" s="75">
        <v>5.71</v>
      </c>
      <c r="E15" s="75">
        <v>4.5599999999999996</v>
      </c>
      <c r="F15" s="75">
        <v>9.27</v>
      </c>
      <c r="G15" s="81">
        <v>5.0999999999999996</v>
      </c>
      <c r="H15" s="76">
        <v>83019213</v>
      </c>
      <c r="I15" s="77">
        <f t="shared" si="12"/>
        <v>3993224.1452999995</v>
      </c>
      <c r="J15" s="77">
        <f t="shared" si="9"/>
        <v>3727562.6636999999</v>
      </c>
      <c r="K15" s="77">
        <f t="shared" si="0"/>
        <v>4740397.0623000003</v>
      </c>
      <c r="L15" s="77">
        <f t="shared" si="1"/>
        <v>3785676.1127999998</v>
      </c>
      <c r="M15" s="77">
        <f t="shared" si="2"/>
        <v>7695881.0450999998</v>
      </c>
      <c r="N15" s="78">
        <f t="shared" si="3"/>
        <v>4233979.8629999999</v>
      </c>
      <c r="O15" s="62">
        <f>83019213/100000</f>
        <v>830.19213000000002</v>
      </c>
      <c r="P15" s="77">
        <f t="shared" si="10"/>
        <v>4809.9999999999991</v>
      </c>
      <c r="Q15" s="77">
        <f t="shared" si="11"/>
        <v>4490</v>
      </c>
      <c r="R15" s="77">
        <f t="shared" si="4"/>
        <v>5710</v>
      </c>
      <c r="S15" s="77">
        <f t="shared" si="5"/>
        <v>4560</v>
      </c>
      <c r="T15" s="77">
        <f t="shared" si="6"/>
        <v>9270</v>
      </c>
      <c r="U15" s="77">
        <f t="shared" si="7"/>
        <v>5100</v>
      </c>
      <c r="W15" s="53">
        <f>AVERAGE(Táblázat6[[#This Row],[Males with low formal education3]:[Females with high formal education27]])</f>
        <v>5656.666666666667</v>
      </c>
    </row>
    <row r="16" spans="1:23" x14ac:dyDescent="0.3">
      <c r="A16" s="73" t="s">
        <v>19</v>
      </c>
      <c r="B16" s="79">
        <v>0.11</v>
      </c>
      <c r="C16" s="82">
        <v>0</v>
      </c>
      <c r="D16" s="82">
        <v>0</v>
      </c>
      <c r="E16" s="82">
        <v>0</v>
      </c>
      <c r="F16" s="79">
        <v>0.23</v>
      </c>
      <c r="G16" s="79">
        <v>0.12</v>
      </c>
      <c r="H16" s="76">
        <v>10724599</v>
      </c>
      <c r="I16" s="77">
        <f t="shared" si="12"/>
        <v>11797.058899999998</v>
      </c>
      <c r="J16" s="77"/>
      <c r="K16" s="77"/>
      <c r="L16" s="77"/>
      <c r="M16" s="77">
        <f t="shared" si="2"/>
        <v>24666.577700000002</v>
      </c>
      <c r="N16" s="78">
        <f t="shared" si="3"/>
        <v>12869.518799999998</v>
      </c>
      <c r="O16" s="62">
        <f>10724599/100000</f>
        <v>107.24599000000001</v>
      </c>
      <c r="P16" s="77">
        <f t="shared" si="10"/>
        <v>109.99999999999997</v>
      </c>
      <c r="Q16" s="96">
        <v>966</v>
      </c>
      <c r="R16" s="96">
        <v>2151</v>
      </c>
      <c r="S16" s="96">
        <v>1815</v>
      </c>
      <c r="T16" s="77">
        <f t="shared" si="6"/>
        <v>230</v>
      </c>
      <c r="U16" s="77">
        <f t="shared" si="7"/>
        <v>119.99999999999997</v>
      </c>
      <c r="W16" s="53">
        <f>AVERAGE(Táblázat6[[#This Row],[Males with low formal education3]:[Females with high formal education27]])</f>
        <v>898.66666666666663</v>
      </c>
    </row>
    <row r="17" spans="1:23" x14ac:dyDescent="0.3">
      <c r="A17" s="73" t="s">
        <v>28</v>
      </c>
      <c r="B17" s="75">
        <v>3.26</v>
      </c>
      <c r="C17" s="75">
        <v>0.93</v>
      </c>
      <c r="D17" s="75">
        <v>3.72</v>
      </c>
      <c r="E17" s="81">
        <v>3</v>
      </c>
      <c r="F17" s="81">
        <v>2.7</v>
      </c>
      <c r="G17" s="75">
        <v>4.9800000000000004</v>
      </c>
      <c r="H17" s="76">
        <v>9772756</v>
      </c>
      <c r="I17" s="77">
        <f t="shared" si="12"/>
        <v>318591.8456</v>
      </c>
      <c r="J17" s="77">
        <f>H17*C17/100</f>
        <v>90886.630799999999</v>
      </c>
      <c r="K17" s="77">
        <f t="shared" ref="K17:K38" si="13">H17*D17/100</f>
        <v>363546.5232</v>
      </c>
      <c r="L17" s="77">
        <f t="shared" ref="L17:L25" si="14">H17*E17/100</f>
        <v>293182.68</v>
      </c>
      <c r="M17" s="77">
        <f t="shared" si="2"/>
        <v>263864.41200000001</v>
      </c>
      <c r="N17" s="78">
        <f t="shared" si="3"/>
        <v>486683.2488</v>
      </c>
      <c r="O17" s="62">
        <f>9772756/100000</f>
        <v>97.727559999999997</v>
      </c>
      <c r="P17" s="77">
        <f t="shared" si="10"/>
        <v>3260</v>
      </c>
      <c r="Q17" s="77">
        <f t="shared" si="11"/>
        <v>930</v>
      </c>
      <c r="R17" s="77">
        <f t="shared" si="4"/>
        <v>3720</v>
      </c>
      <c r="S17" s="77">
        <f t="shared" si="5"/>
        <v>3000</v>
      </c>
      <c r="T17" s="77">
        <f t="shared" si="6"/>
        <v>2700</v>
      </c>
      <c r="U17" s="77">
        <f t="shared" si="7"/>
        <v>4980</v>
      </c>
      <c r="W17" s="53">
        <f>AVERAGE(Táblázat6[[#This Row],[Males with low formal education3]:[Females with high formal education27]])</f>
        <v>3098.3333333333335</v>
      </c>
    </row>
    <row r="18" spans="1:23" x14ac:dyDescent="0.3">
      <c r="A18" s="73" t="s">
        <v>39</v>
      </c>
      <c r="B18" s="80">
        <v>4.3</v>
      </c>
      <c r="C18" s="79">
        <v>1.23</v>
      </c>
      <c r="D18" s="79">
        <v>2.29</v>
      </c>
      <c r="E18" s="79">
        <v>1.51</v>
      </c>
      <c r="F18" s="79">
        <v>4.7300000000000004</v>
      </c>
      <c r="G18" s="79">
        <v>3.87</v>
      </c>
      <c r="H18" s="76">
        <v>356991</v>
      </c>
      <c r="I18" s="77">
        <f t="shared" si="12"/>
        <v>15350.613000000001</v>
      </c>
      <c r="J18" s="77">
        <f>H18*C18/100</f>
        <v>4390.9893000000002</v>
      </c>
      <c r="K18" s="77">
        <f t="shared" si="13"/>
        <v>8175.0938999999998</v>
      </c>
      <c r="L18" s="77">
        <f t="shared" si="14"/>
        <v>5390.5641000000005</v>
      </c>
      <c r="M18" s="77">
        <f t="shared" si="2"/>
        <v>16885.674300000002</v>
      </c>
      <c r="N18" s="78">
        <f t="shared" si="3"/>
        <v>13815.5517</v>
      </c>
      <c r="O18" s="62">
        <f>356991/100000</f>
        <v>3.5699100000000001</v>
      </c>
      <c r="P18" s="77">
        <f t="shared" si="10"/>
        <v>4300</v>
      </c>
      <c r="Q18" s="77">
        <f t="shared" si="11"/>
        <v>1230</v>
      </c>
      <c r="R18" s="77">
        <f t="shared" si="4"/>
        <v>2290</v>
      </c>
      <c r="S18" s="77">
        <f t="shared" si="5"/>
        <v>1510</v>
      </c>
      <c r="T18" s="77">
        <f t="shared" si="6"/>
        <v>4730.0000000000009</v>
      </c>
      <c r="U18" s="77">
        <f t="shared" si="7"/>
        <v>3870</v>
      </c>
      <c r="W18" s="53">
        <f>AVERAGE(Táblázat6[[#This Row],[Males with low formal education3]:[Females with high formal education27]])</f>
        <v>2988.3333333333335</v>
      </c>
    </row>
    <row r="19" spans="1:23" x14ac:dyDescent="0.3">
      <c r="A19" s="73" t="s">
        <v>18</v>
      </c>
      <c r="B19" s="75">
        <v>0.37</v>
      </c>
      <c r="C19" s="75">
        <v>0.37</v>
      </c>
      <c r="D19" s="75">
        <v>1.78</v>
      </c>
      <c r="E19" s="75">
        <v>1.0900000000000001</v>
      </c>
      <c r="F19" s="75">
        <v>1.98</v>
      </c>
      <c r="G19" s="81">
        <v>1.2</v>
      </c>
      <c r="H19" s="76">
        <v>4904240</v>
      </c>
      <c r="I19" s="77">
        <f t="shared" si="12"/>
        <v>18145.688000000002</v>
      </c>
      <c r="J19" s="77">
        <f>H19*C19/100</f>
        <v>18145.688000000002</v>
      </c>
      <c r="K19" s="77">
        <f t="shared" si="13"/>
        <v>87295.471999999994</v>
      </c>
      <c r="L19" s="77">
        <f t="shared" si="14"/>
        <v>53456.216000000008</v>
      </c>
      <c r="M19" s="77">
        <f t="shared" si="2"/>
        <v>97103.95199999999</v>
      </c>
      <c r="N19" s="78">
        <f t="shared" si="3"/>
        <v>58850.879999999997</v>
      </c>
      <c r="O19" s="62">
        <f>4904240/100000</f>
        <v>49.042400000000001</v>
      </c>
      <c r="P19" s="77">
        <f t="shared" si="10"/>
        <v>370.00000000000006</v>
      </c>
      <c r="Q19" s="77">
        <f t="shared" si="11"/>
        <v>370.00000000000006</v>
      </c>
      <c r="R19" s="77">
        <f t="shared" si="4"/>
        <v>1779.9999999999998</v>
      </c>
      <c r="S19" s="77">
        <f t="shared" si="5"/>
        <v>1090.0000000000002</v>
      </c>
      <c r="T19" s="77">
        <f t="shared" si="6"/>
        <v>1979.9999999999998</v>
      </c>
      <c r="U19" s="77">
        <f t="shared" si="7"/>
        <v>1200</v>
      </c>
      <c r="W19" s="53">
        <f>AVERAGE(Táblázat6[[#This Row],[Males with low formal education3]:[Females with high formal education27]])</f>
        <v>1131.6666666666667</v>
      </c>
    </row>
    <row r="20" spans="1:23" x14ac:dyDescent="0.3">
      <c r="A20" s="73" t="s">
        <v>23</v>
      </c>
      <c r="B20" s="82">
        <v>0</v>
      </c>
      <c r="C20" s="82">
        <v>0</v>
      </c>
      <c r="D20" s="79">
        <v>2.2400000000000002</v>
      </c>
      <c r="E20" s="79">
        <v>2.06</v>
      </c>
      <c r="F20" s="79">
        <v>1.1599999999999999</v>
      </c>
      <c r="G20" s="79">
        <v>1.97</v>
      </c>
      <c r="H20" s="76">
        <v>59816673</v>
      </c>
      <c r="I20" s="77"/>
      <c r="J20" s="77"/>
      <c r="K20" s="77">
        <f t="shared" si="13"/>
        <v>1339893.4752000002</v>
      </c>
      <c r="L20" s="77">
        <f t="shared" si="14"/>
        <v>1232223.4638</v>
      </c>
      <c r="M20" s="77">
        <f t="shared" si="2"/>
        <v>693873.40679999988</v>
      </c>
      <c r="N20" s="78">
        <f t="shared" si="3"/>
        <v>1178388.4580999999</v>
      </c>
      <c r="O20" s="62">
        <f>59816673/100000</f>
        <v>598.16673000000003</v>
      </c>
      <c r="P20" s="96">
        <v>1596</v>
      </c>
      <c r="Q20" s="96">
        <v>966</v>
      </c>
      <c r="R20" s="77">
        <f t="shared" si="4"/>
        <v>2240.0000000000005</v>
      </c>
      <c r="S20" s="77">
        <f t="shared" si="5"/>
        <v>2060</v>
      </c>
      <c r="T20" s="77">
        <f t="shared" si="6"/>
        <v>1159.9999999999998</v>
      </c>
      <c r="U20" s="77">
        <f t="shared" si="7"/>
        <v>1969.9999999999998</v>
      </c>
      <c r="W20" s="53">
        <f>AVERAGE(Táblázat6[[#This Row],[Males with low formal education3]:[Females with high formal education27]])</f>
        <v>1665.3333333333333</v>
      </c>
    </row>
    <row r="21" spans="1:23" ht="15.6" customHeight="1" x14ac:dyDescent="0.3">
      <c r="A21" s="73" t="s">
        <v>49</v>
      </c>
      <c r="B21" s="79">
        <v>1.23</v>
      </c>
      <c r="C21" s="79">
        <v>0.47</v>
      </c>
      <c r="D21" s="79">
        <v>2.23</v>
      </c>
      <c r="E21" s="79">
        <v>1.1299999999999999</v>
      </c>
      <c r="F21" s="79">
        <v>3.71</v>
      </c>
      <c r="G21" s="79">
        <v>2.29</v>
      </c>
      <c r="H21" s="76">
        <v>1795666</v>
      </c>
      <c r="I21" s="77">
        <f>H21*B21/100</f>
        <v>22086.691800000001</v>
      </c>
      <c r="J21" s="77">
        <f>H21*C21/100</f>
        <v>8439.6301999999996</v>
      </c>
      <c r="K21" s="77">
        <f t="shared" si="13"/>
        <v>40043.351800000004</v>
      </c>
      <c r="L21" s="77">
        <f t="shared" si="14"/>
        <v>20291.025799999999</v>
      </c>
      <c r="M21" s="77">
        <f t="shared" si="2"/>
        <v>66619.208599999998</v>
      </c>
      <c r="N21" s="78">
        <f t="shared" si="3"/>
        <v>41120.751400000001</v>
      </c>
      <c r="O21" s="62">
        <f>1795666/100000</f>
        <v>17.956659999999999</v>
      </c>
      <c r="P21" s="77">
        <f t="shared" si="10"/>
        <v>1230</v>
      </c>
      <c r="Q21" s="77">
        <f t="shared" si="11"/>
        <v>470</v>
      </c>
      <c r="R21" s="77">
        <f t="shared" si="4"/>
        <v>2230.0000000000005</v>
      </c>
      <c r="S21" s="77">
        <f t="shared" si="5"/>
        <v>1130</v>
      </c>
      <c r="T21" s="77">
        <f t="shared" si="6"/>
        <v>3710</v>
      </c>
      <c r="U21" s="77">
        <f t="shared" si="7"/>
        <v>2290</v>
      </c>
      <c r="W21" s="53">
        <f>AVERAGE(Táblázat6[[#This Row],[Males with low formal education3]:[Females with high formal education27]])</f>
        <v>1843.3333333333333</v>
      </c>
    </row>
    <row r="22" spans="1:23" x14ac:dyDescent="0.3">
      <c r="A22" s="73" t="s">
        <v>25</v>
      </c>
      <c r="B22" s="79">
        <v>0.23</v>
      </c>
      <c r="C22" s="82">
        <v>0</v>
      </c>
      <c r="D22" s="79">
        <v>0.69</v>
      </c>
      <c r="E22" s="80">
        <v>0.5</v>
      </c>
      <c r="F22" s="79">
        <v>2.62</v>
      </c>
      <c r="G22" s="79">
        <v>0.93</v>
      </c>
      <c r="H22" s="76">
        <v>1919968</v>
      </c>
      <c r="I22" s="77">
        <f>H22*B22/100</f>
        <v>4415.9264000000003</v>
      </c>
      <c r="J22" s="77"/>
      <c r="K22" s="77">
        <f t="shared" si="13"/>
        <v>13247.779199999999</v>
      </c>
      <c r="L22" s="77">
        <f t="shared" si="14"/>
        <v>9599.84</v>
      </c>
      <c r="M22" s="77">
        <f t="shared" si="2"/>
        <v>50303.161599999999</v>
      </c>
      <c r="N22" s="78">
        <f t="shared" si="3"/>
        <v>17855.702399999998</v>
      </c>
      <c r="O22" s="62">
        <f>1919968/100000</f>
        <v>19.199680000000001</v>
      </c>
      <c r="P22" s="77">
        <f t="shared" si="10"/>
        <v>230</v>
      </c>
      <c r="Q22" s="96">
        <v>966</v>
      </c>
      <c r="R22" s="77">
        <f t="shared" si="4"/>
        <v>689.99999999999989</v>
      </c>
      <c r="S22" s="77">
        <f t="shared" si="5"/>
        <v>500</v>
      </c>
      <c r="T22" s="77">
        <f t="shared" si="6"/>
        <v>2620</v>
      </c>
      <c r="U22" s="77">
        <f t="shared" si="7"/>
        <v>929.99999999999989</v>
      </c>
      <c r="W22" s="53">
        <f>AVERAGE(Táblázat6[[#This Row],[Males with low formal education3]:[Females with high formal education27]])</f>
        <v>989.33333333333337</v>
      </c>
    </row>
    <row r="23" spans="1:23" x14ac:dyDescent="0.3">
      <c r="A23" s="73" t="s">
        <v>26</v>
      </c>
      <c r="B23" s="74">
        <v>0</v>
      </c>
      <c r="C23" s="74">
        <v>0</v>
      </c>
      <c r="D23" s="75">
        <v>0.74</v>
      </c>
      <c r="E23" s="75">
        <v>0.99</v>
      </c>
      <c r="F23" s="81">
        <v>1.9</v>
      </c>
      <c r="G23" s="75">
        <v>1.39</v>
      </c>
      <c r="H23" s="76">
        <v>2794184</v>
      </c>
      <c r="I23" s="77"/>
      <c r="J23" s="77"/>
      <c r="K23" s="77">
        <f t="shared" si="13"/>
        <v>20676.961599999999</v>
      </c>
      <c r="L23" s="77">
        <f t="shared" si="14"/>
        <v>27662.421600000001</v>
      </c>
      <c r="M23" s="77">
        <f t="shared" si="2"/>
        <v>53089.495999999999</v>
      </c>
      <c r="N23" s="78">
        <f t="shared" si="3"/>
        <v>38839.157599999999</v>
      </c>
      <c r="O23" s="62">
        <f>2794184/100000</f>
        <v>27.941839999999999</v>
      </c>
      <c r="P23" s="96">
        <v>1596</v>
      </c>
      <c r="Q23" s="96">
        <v>966</v>
      </c>
      <c r="R23" s="77">
        <f t="shared" si="4"/>
        <v>740</v>
      </c>
      <c r="S23" s="77">
        <f t="shared" si="5"/>
        <v>990.00000000000011</v>
      </c>
      <c r="T23" s="77">
        <f t="shared" si="6"/>
        <v>1900</v>
      </c>
      <c r="U23" s="77">
        <f t="shared" si="7"/>
        <v>1390</v>
      </c>
      <c r="W23" s="53">
        <f>AVERAGE(Táblázat6[[#This Row],[Males with low formal education3]:[Females with high formal education27]])</f>
        <v>1263.6666666666667</v>
      </c>
    </row>
    <row r="24" spans="1:23" x14ac:dyDescent="0.3">
      <c r="A24" s="73" t="s">
        <v>27</v>
      </c>
      <c r="B24" s="82">
        <v>0</v>
      </c>
      <c r="C24" s="82">
        <v>0</v>
      </c>
      <c r="D24" s="79">
        <v>0.24</v>
      </c>
      <c r="E24" s="79">
        <v>0.17</v>
      </c>
      <c r="F24" s="79">
        <v>0.81</v>
      </c>
      <c r="G24" s="79">
        <v>0.45</v>
      </c>
      <c r="H24" s="76">
        <v>613894</v>
      </c>
      <c r="I24" s="77"/>
      <c r="J24" s="77"/>
      <c r="K24" s="77">
        <f t="shared" si="13"/>
        <v>1473.3455999999999</v>
      </c>
      <c r="L24" s="77">
        <f t="shared" si="14"/>
        <v>1043.6198000000002</v>
      </c>
      <c r="M24" s="77">
        <f t="shared" si="2"/>
        <v>4972.5414000000001</v>
      </c>
      <c r="N24" s="78">
        <f t="shared" si="3"/>
        <v>2762.5229999999997</v>
      </c>
      <c r="O24" s="62">
        <f>613894/100000</f>
        <v>6.1389399999999998</v>
      </c>
      <c r="P24" s="96">
        <v>1596</v>
      </c>
      <c r="Q24" s="96">
        <v>966</v>
      </c>
      <c r="R24" s="77">
        <f t="shared" si="4"/>
        <v>240</v>
      </c>
      <c r="S24" s="77">
        <f t="shared" si="5"/>
        <v>170.00000000000003</v>
      </c>
      <c r="T24" s="77">
        <f t="shared" si="6"/>
        <v>810</v>
      </c>
      <c r="U24" s="77">
        <f t="shared" si="7"/>
        <v>449.99999999999994</v>
      </c>
      <c r="W24" s="53">
        <f>AVERAGE(Táblázat6[[#This Row],[Males with low formal education3]:[Females with high formal education27]])</f>
        <v>705.33333333333337</v>
      </c>
    </row>
    <row r="25" spans="1:23" x14ac:dyDescent="0.3">
      <c r="A25" s="73" t="s">
        <v>29</v>
      </c>
      <c r="B25" s="79">
        <v>3.09</v>
      </c>
      <c r="C25" s="80">
        <v>1.7</v>
      </c>
      <c r="D25" s="79">
        <v>4.87</v>
      </c>
      <c r="E25" s="79">
        <v>4.21</v>
      </c>
      <c r="F25" s="79">
        <v>9.69</v>
      </c>
      <c r="G25" s="79">
        <v>5.95</v>
      </c>
      <c r="H25" s="76">
        <v>493559</v>
      </c>
      <c r="I25" s="77">
        <f>H25*B25/100</f>
        <v>15250.973099999997</v>
      </c>
      <c r="J25" s="77">
        <f>H25*C25/100</f>
        <v>8390.5029999999988</v>
      </c>
      <c r="K25" s="77">
        <f t="shared" si="13"/>
        <v>24036.3233</v>
      </c>
      <c r="L25" s="77">
        <f t="shared" si="14"/>
        <v>20778.833899999998</v>
      </c>
      <c r="M25" s="77">
        <f t="shared" si="2"/>
        <v>47825.867100000003</v>
      </c>
      <c r="N25" s="78">
        <f t="shared" si="3"/>
        <v>29366.760500000004</v>
      </c>
      <c r="O25" s="62">
        <f>493559/100000</f>
        <v>4.9355900000000004</v>
      </c>
      <c r="P25" s="77">
        <f t="shared" si="10"/>
        <v>3089.9999999999991</v>
      </c>
      <c r="Q25" s="77">
        <f t="shared" si="11"/>
        <v>1699.9999999999995</v>
      </c>
      <c r="R25" s="77">
        <f t="shared" si="4"/>
        <v>4870</v>
      </c>
      <c r="S25" s="77">
        <f t="shared" si="5"/>
        <v>4209.9999999999991</v>
      </c>
      <c r="T25" s="77">
        <f t="shared" si="6"/>
        <v>9690</v>
      </c>
      <c r="U25" s="77">
        <f t="shared" si="7"/>
        <v>5950</v>
      </c>
      <c r="W25" s="53">
        <f>AVERAGE(Táblázat6[[#This Row],[Males with low formal education3]:[Females with high formal education27]])</f>
        <v>4918.333333333333</v>
      </c>
    </row>
    <row r="26" spans="1:23" x14ac:dyDescent="0.3">
      <c r="A26" s="73" t="s">
        <v>44</v>
      </c>
      <c r="B26" s="81">
        <v>0.5</v>
      </c>
      <c r="C26" s="74">
        <v>0</v>
      </c>
      <c r="D26" s="75">
        <v>0.31</v>
      </c>
      <c r="E26" s="74">
        <v>0</v>
      </c>
      <c r="F26" s="75">
        <v>0.47</v>
      </c>
      <c r="G26" s="75">
        <v>0.28999999999999998</v>
      </c>
      <c r="H26" s="76">
        <v>622182</v>
      </c>
      <c r="I26" s="77">
        <f>H26*B26/100</f>
        <v>3110.91</v>
      </c>
      <c r="J26" s="77"/>
      <c r="K26" s="77">
        <f t="shared" si="13"/>
        <v>1928.7642000000001</v>
      </c>
      <c r="L26" s="77"/>
      <c r="M26" s="77">
        <f t="shared" si="2"/>
        <v>2924.2554</v>
      </c>
      <c r="N26" s="78">
        <f t="shared" si="3"/>
        <v>1804.3278</v>
      </c>
      <c r="O26" s="62">
        <f>622182/100000</f>
        <v>6.2218200000000001</v>
      </c>
      <c r="P26" s="77">
        <f t="shared" si="10"/>
        <v>499.99999999999994</v>
      </c>
      <c r="Q26" s="96">
        <v>966</v>
      </c>
      <c r="R26" s="77">
        <f t="shared" si="4"/>
        <v>310</v>
      </c>
      <c r="S26" s="96">
        <v>1815</v>
      </c>
      <c r="T26" s="77">
        <f t="shared" si="6"/>
        <v>470</v>
      </c>
      <c r="U26" s="77">
        <f t="shared" si="7"/>
        <v>290</v>
      </c>
      <c r="W26" s="53">
        <f>AVERAGE(Táblázat6[[#This Row],[Males with low formal education3]:[Females with high formal education27]])</f>
        <v>725.16666666666663</v>
      </c>
    </row>
    <row r="27" spans="1:23" x14ac:dyDescent="0.3">
      <c r="A27" s="73" t="s">
        <v>30</v>
      </c>
      <c r="B27" s="75">
        <v>4.2699999999999996</v>
      </c>
      <c r="C27" s="81">
        <v>1.2</v>
      </c>
      <c r="D27" s="75">
        <v>4.68</v>
      </c>
      <c r="E27" s="75">
        <v>5.24</v>
      </c>
      <c r="F27" s="75">
        <v>3.62</v>
      </c>
      <c r="G27" s="75">
        <v>11.18</v>
      </c>
      <c r="H27" s="76">
        <v>17282163</v>
      </c>
      <c r="I27" s="77">
        <f>H27*B27/100</f>
        <v>737948.36009999993</v>
      </c>
      <c r="J27" s="77">
        <f>H27*C27/100</f>
        <v>207385.95599999998</v>
      </c>
      <c r="K27" s="77">
        <f t="shared" si="13"/>
        <v>808805.22839999991</v>
      </c>
      <c r="L27" s="77">
        <f>H27*E27/100</f>
        <v>905585.34120000002</v>
      </c>
      <c r="M27" s="77">
        <f t="shared" si="2"/>
        <v>625614.30060000008</v>
      </c>
      <c r="N27" s="78">
        <f t="shared" si="3"/>
        <v>1932145.8234000001</v>
      </c>
      <c r="O27" s="62">
        <f>17282163/100000</f>
        <v>172.82163</v>
      </c>
      <c r="P27" s="77">
        <f t="shared" si="10"/>
        <v>4270</v>
      </c>
      <c r="Q27" s="77">
        <f t="shared" si="11"/>
        <v>1199.9999999999998</v>
      </c>
      <c r="R27" s="77">
        <f t="shared" si="4"/>
        <v>4679.9999999999991</v>
      </c>
      <c r="S27" s="77">
        <f t="shared" si="5"/>
        <v>5240</v>
      </c>
      <c r="T27" s="77">
        <f t="shared" si="6"/>
        <v>3620.0000000000005</v>
      </c>
      <c r="U27" s="77">
        <f t="shared" si="7"/>
        <v>11180</v>
      </c>
      <c r="W27" s="53">
        <f>AVERAGE(Táblázat6[[#This Row],[Males with low formal education3]:[Females with high formal education27]])</f>
        <v>5031.666666666667</v>
      </c>
    </row>
    <row r="28" spans="1:23" x14ac:dyDescent="0.3">
      <c r="A28" s="73" t="s">
        <v>45</v>
      </c>
      <c r="B28" s="82">
        <v>0</v>
      </c>
      <c r="C28" s="82">
        <v>0</v>
      </c>
      <c r="D28" s="79">
        <v>0.42</v>
      </c>
      <c r="E28" s="82">
        <v>0</v>
      </c>
      <c r="F28" s="80">
        <v>0.8</v>
      </c>
      <c r="G28" s="82">
        <v>0</v>
      </c>
      <c r="H28" s="76">
        <v>2077132</v>
      </c>
      <c r="I28" s="77"/>
      <c r="J28" s="77"/>
      <c r="K28" s="77">
        <f t="shared" si="13"/>
        <v>8723.9543999999987</v>
      </c>
      <c r="L28" s="77"/>
      <c r="M28" s="77">
        <f t="shared" si="2"/>
        <v>16617.056</v>
      </c>
      <c r="N28" s="78"/>
      <c r="O28" s="62">
        <f>2077132/100000</f>
        <v>20.771319999999999</v>
      </c>
      <c r="P28" s="96">
        <v>1596</v>
      </c>
      <c r="Q28" s="96">
        <v>966</v>
      </c>
      <c r="R28" s="77">
        <f t="shared" si="4"/>
        <v>419.99999999999994</v>
      </c>
      <c r="S28" s="96">
        <v>1815</v>
      </c>
      <c r="T28" s="77">
        <f t="shared" si="6"/>
        <v>800</v>
      </c>
      <c r="U28" s="96">
        <v>2799</v>
      </c>
      <c r="W28" s="53">
        <f>AVERAGE(Táblázat6[[#This Row],[Males with low formal education3]:[Females with high formal education27]])</f>
        <v>1399.3333333333333</v>
      </c>
    </row>
    <row r="29" spans="1:23" x14ac:dyDescent="0.3">
      <c r="A29" s="73" t="s">
        <v>40</v>
      </c>
      <c r="B29" s="75">
        <v>3.69</v>
      </c>
      <c r="C29" s="75">
        <v>3.17</v>
      </c>
      <c r="D29" s="75">
        <v>4.63</v>
      </c>
      <c r="E29" s="75">
        <v>4.75</v>
      </c>
      <c r="F29" s="75">
        <v>9.17</v>
      </c>
      <c r="G29" s="75">
        <v>6.23</v>
      </c>
      <c r="H29" s="76">
        <v>5328212</v>
      </c>
      <c r="I29" s="77">
        <f>H29*B29/100</f>
        <v>196611.02280000001</v>
      </c>
      <c r="J29" s="77">
        <f>H29*C29/100</f>
        <v>168904.3204</v>
      </c>
      <c r="K29" s="77">
        <f t="shared" si="13"/>
        <v>246696.2156</v>
      </c>
      <c r="L29" s="77">
        <f t="shared" ref="L29:L40" si="15">H29*E29/100</f>
        <v>253090.07</v>
      </c>
      <c r="M29" s="77">
        <f t="shared" si="2"/>
        <v>488597.0404</v>
      </c>
      <c r="N29" s="78">
        <f t="shared" ref="N29:N40" si="16">H29*G29/100</f>
        <v>331947.60759999999</v>
      </c>
      <c r="O29" s="62">
        <f>5328212/100000</f>
        <v>53.282119999999999</v>
      </c>
      <c r="P29" s="77">
        <f t="shared" si="10"/>
        <v>3690</v>
      </c>
      <c r="Q29" s="77">
        <f t="shared" si="11"/>
        <v>3170</v>
      </c>
      <c r="R29" s="77">
        <f t="shared" si="4"/>
        <v>4630</v>
      </c>
      <c r="S29" s="77">
        <f t="shared" si="5"/>
        <v>4750</v>
      </c>
      <c r="T29" s="77">
        <f t="shared" si="6"/>
        <v>9170</v>
      </c>
      <c r="U29" s="77">
        <f t="shared" si="7"/>
        <v>6230</v>
      </c>
      <c r="W29" s="53">
        <f>AVERAGE(Táblázat6[[#This Row],[Males with low formal education3]:[Females with high formal education27]])</f>
        <v>5273.333333333333</v>
      </c>
    </row>
    <row r="30" spans="1:23" x14ac:dyDescent="0.3">
      <c r="A30" s="73" t="s">
        <v>32</v>
      </c>
      <c r="B30" s="75">
        <v>1.67</v>
      </c>
      <c r="C30" s="75">
        <v>0.87</v>
      </c>
      <c r="D30" s="75">
        <v>2.04</v>
      </c>
      <c r="E30" s="75">
        <v>1.06</v>
      </c>
      <c r="F30" s="75">
        <v>2.91</v>
      </c>
      <c r="G30" s="75">
        <v>3.44</v>
      </c>
      <c r="H30" s="76">
        <v>37972812</v>
      </c>
      <c r="I30" s="77">
        <f>H30*B30/100</f>
        <v>634145.96039999998</v>
      </c>
      <c r="J30" s="77">
        <f>H30*C30/100</f>
        <v>330363.4644</v>
      </c>
      <c r="K30" s="77">
        <f t="shared" si="13"/>
        <v>774645.3648000001</v>
      </c>
      <c r="L30" s="77">
        <f t="shared" si="15"/>
        <v>402511.80719999998</v>
      </c>
      <c r="M30" s="77">
        <f t="shared" si="2"/>
        <v>1105008.8292</v>
      </c>
      <c r="N30" s="78">
        <f t="shared" si="16"/>
        <v>1306264.7328000001</v>
      </c>
      <c r="O30" s="62">
        <f>37972812/100000</f>
        <v>379.72811999999999</v>
      </c>
      <c r="P30" s="77">
        <f t="shared" si="10"/>
        <v>1670</v>
      </c>
      <c r="Q30" s="77">
        <f t="shared" si="11"/>
        <v>870</v>
      </c>
      <c r="R30" s="77">
        <f t="shared" si="4"/>
        <v>2040.0000000000002</v>
      </c>
      <c r="S30" s="77">
        <f t="shared" si="5"/>
        <v>1060</v>
      </c>
      <c r="T30" s="77">
        <f t="shared" si="6"/>
        <v>2910</v>
      </c>
      <c r="U30" s="77">
        <f t="shared" si="7"/>
        <v>3440.0000000000005</v>
      </c>
      <c r="W30" s="53">
        <f>AVERAGE(Táblázat6[[#This Row],[Males with low formal education3]:[Females with high formal education27]])</f>
        <v>1998.3333333333333</v>
      </c>
    </row>
    <row r="31" spans="1:23" x14ac:dyDescent="0.3">
      <c r="A31" s="73" t="s">
        <v>33</v>
      </c>
      <c r="B31" s="79">
        <v>0.15</v>
      </c>
      <c r="C31" s="82">
        <v>0</v>
      </c>
      <c r="D31" s="79">
        <v>0.34</v>
      </c>
      <c r="E31" s="79">
        <v>0.36</v>
      </c>
      <c r="F31" s="79">
        <v>0.87</v>
      </c>
      <c r="G31" s="79">
        <v>0.54</v>
      </c>
      <c r="H31" s="76">
        <v>10276617</v>
      </c>
      <c r="I31" s="77">
        <f>H31*B31/100</f>
        <v>15414.925500000001</v>
      </c>
      <c r="J31" s="77"/>
      <c r="K31" s="77">
        <f t="shared" si="13"/>
        <v>34940.497800000005</v>
      </c>
      <c r="L31" s="77">
        <f t="shared" si="15"/>
        <v>36995.821199999998</v>
      </c>
      <c r="M31" s="77">
        <f t="shared" si="2"/>
        <v>89406.567899999995</v>
      </c>
      <c r="N31" s="78">
        <f t="shared" si="16"/>
        <v>55493.731800000009</v>
      </c>
      <c r="O31" s="62">
        <f>10276617/100000</f>
        <v>102.76617</v>
      </c>
      <c r="P31" s="77">
        <f t="shared" si="10"/>
        <v>150</v>
      </c>
      <c r="Q31" s="96">
        <v>966</v>
      </c>
      <c r="R31" s="77">
        <f t="shared" si="4"/>
        <v>340.00000000000006</v>
      </c>
      <c r="S31" s="77">
        <f t="shared" si="5"/>
        <v>360</v>
      </c>
      <c r="T31" s="77">
        <f t="shared" si="6"/>
        <v>869.99999999999989</v>
      </c>
      <c r="U31" s="77">
        <f t="shared" si="7"/>
        <v>540.00000000000011</v>
      </c>
      <c r="W31" s="53">
        <f>AVERAGE(Táblázat6[[#This Row],[Males with low formal education3]:[Females with high formal education27]])</f>
        <v>537.66666666666663</v>
      </c>
    </row>
    <row r="32" spans="1:23" x14ac:dyDescent="0.3">
      <c r="A32" s="73" t="s">
        <v>34</v>
      </c>
      <c r="B32" s="75">
        <v>0.54</v>
      </c>
      <c r="C32" s="75">
        <v>0.47</v>
      </c>
      <c r="D32" s="75">
        <v>1.34</v>
      </c>
      <c r="E32" s="75">
        <v>1.41</v>
      </c>
      <c r="F32" s="75">
        <v>3.46</v>
      </c>
      <c r="G32" s="75">
        <v>3.02</v>
      </c>
      <c r="H32" s="76">
        <v>19414458</v>
      </c>
      <c r="I32" s="77">
        <f>H32*B32/100</f>
        <v>104838.0732</v>
      </c>
      <c r="J32" s="77">
        <f>H32*C32/100</f>
        <v>91247.952600000004</v>
      </c>
      <c r="K32" s="77">
        <f t="shared" si="13"/>
        <v>260153.73720000003</v>
      </c>
      <c r="L32" s="77">
        <f t="shared" si="15"/>
        <v>273743.8578</v>
      </c>
      <c r="M32" s="77">
        <f t="shared" si="2"/>
        <v>671740.24679999996</v>
      </c>
      <c r="N32" s="78">
        <f t="shared" si="16"/>
        <v>586316.63160000008</v>
      </c>
      <c r="O32" s="62">
        <f>19414458/100000</f>
        <v>194.14457999999999</v>
      </c>
      <c r="P32" s="77">
        <f t="shared" si="10"/>
        <v>540</v>
      </c>
      <c r="Q32" s="77">
        <f t="shared" si="11"/>
        <v>470.00000000000006</v>
      </c>
      <c r="R32" s="77">
        <f t="shared" si="4"/>
        <v>1340.0000000000002</v>
      </c>
      <c r="S32" s="77">
        <f t="shared" si="5"/>
        <v>1410</v>
      </c>
      <c r="T32" s="77">
        <f t="shared" si="6"/>
        <v>3460</v>
      </c>
      <c r="U32" s="77">
        <f t="shared" si="7"/>
        <v>3020.0000000000005</v>
      </c>
      <c r="W32" s="53">
        <f>AVERAGE(Táblázat6[[#This Row],[Males with low formal education3]:[Females with high formal education27]])</f>
        <v>1706.6666666666667</v>
      </c>
    </row>
    <row r="33" spans="1:23" x14ac:dyDescent="0.3">
      <c r="A33" s="73" t="s">
        <v>47</v>
      </c>
      <c r="B33" s="82">
        <v>0</v>
      </c>
      <c r="C33" s="82">
        <v>0</v>
      </c>
      <c r="D33" s="79">
        <v>0.08</v>
      </c>
      <c r="E33" s="79">
        <v>0.02</v>
      </c>
      <c r="F33" s="82">
        <v>0</v>
      </c>
      <c r="G33" s="79">
        <v>0.15</v>
      </c>
      <c r="H33" s="76">
        <v>6963764</v>
      </c>
      <c r="I33" s="77"/>
      <c r="J33" s="77"/>
      <c r="K33" s="77">
        <f t="shared" si="13"/>
        <v>5571.0111999999999</v>
      </c>
      <c r="L33" s="77">
        <f t="shared" si="15"/>
        <v>1392.7528</v>
      </c>
      <c r="M33" s="77"/>
      <c r="N33" s="78">
        <f t="shared" si="16"/>
        <v>10445.646000000001</v>
      </c>
      <c r="O33" s="62">
        <f>6963764/100000</f>
        <v>69.637640000000005</v>
      </c>
      <c r="P33" s="96">
        <v>1596</v>
      </c>
      <c r="Q33" s="96">
        <v>966</v>
      </c>
      <c r="R33" s="77">
        <f t="shared" si="4"/>
        <v>80</v>
      </c>
      <c r="S33" s="77">
        <f t="shared" si="5"/>
        <v>20</v>
      </c>
      <c r="T33" s="96">
        <v>3395</v>
      </c>
      <c r="U33" s="77">
        <f t="shared" si="7"/>
        <v>150</v>
      </c>
      <c r="W33" s="53">
        <f>AVERAGE(Táblázat6[[#This Row],[Males with low formal education3]:[Females with high formal education27]])</f>
        <v>1034.5</v>
      </c>
    </row>
    <row r="34" spans="1:23" x14ac:dyDescent="0.3">
      <c r="A34" s="73" t="s">
        <v>36</v>
      </c>
      <c r="B34" s="75">
        <v>1.34</v>
      </c>
      <c r="C34" s="81">
        <v>0.5</v>
      </c>
      <c r="D34" s="75">
        <v>2.27</v>
      </c>
      <c r="E34" s="75">
        <v>1.1599999999999999</v>
      </c>
      <c r="F34" s="75">
        <v>2.09</v>
      </c>
      <c r="G34" s="75">
        <v>3.35</v>
      </c>
      <c r="H34" s="76">
        <v>5450421</v>
      </c>
      <c r="I34" s="77">
        <f>H34*B34/100</f>
        <v>73035.641400000008</v>
      </c>
      <c r="J34" s="77">
        <f>H34*C34/100</f>
        <v>27252.105</v>
      </c>
      <c r="K34" s="77">
        <f t="shared" si="13"/>
        <v>123724.5567</v>
      </c>
      <c r="L34" s="77">
        <f t="shared" si="15"/>
        <v>63224.883599999994</v>
      </c>
      <c r="M34" s="77">
        <f t="shared" ref="M34:M40" si="17">H34*F34/100</f>
        <v>113913.79889999999</v>
      </c>
      <c r="N34" s="78">
        <f t="shared" si="16"/>
        <v>182589.10350000003</v>
      </c>
      <c r="O34" s="62">
        <f>5450421/100000</f>
        <v>54.50421</v>
      </c>
      <c r="P34" s="77">
        <f t="shared" si="10"/>
        <v>1340.0000000000002</v>
      </c>
      <c r="Q34" s="77">
        <f t="shared" si="11"/>
        <v>500</v>
      </c>
      <c r="R34" s="77">
        <f t="shared" si="4"/>
        <v>2270</v>
      </c>
      <c r="S34" s="77">
        <f t="shared" si="5"/>
        <v>1159.9999999999998</v>
      </c>
      <c r="T34" s="77">
        <f t="shared" si="6"/>
        <v>2090</v>
      </c>
      <c r="U34" s="77">
        <f t="shared" si="7"/>
        <v>3350.0000000000005</v>
      </c>
      <c r="W34" s="53">
        <f>AVERAGE(Táblázat6[[#This Row],[Males with low formal education3]:[Females with high formal education27]])</f>
        <v>1785</v>
      </c>
    </row>
    <row r="35" spans="1:23" x14ac:dyDescent="0.3">
      <c r="A35" s="73" t="s">
        <v>35</v>
      </c>
      <c r="B35" s="79">
        <v>0.78</v>
      </c>
      <c r="C35" s="79">
        <v>0.36</v>
      </c>
      <c r="D35" s="79">
        <v>1.62</v>
      </c>
      <c r="E35" s="79">
        <v>2.06</v>
      </c>
      <c r="F35" s="79">
        <v>1.56</v>
      </c>
      <c r="G35" s="79">
        <v>1.85</v>
      </c>
      <c r="H35" s="76">
        <v>2080908</v>
      </c>
      <c r="I35" s="77">
        <f>H35*B35/100</f>
        <v>16231.082399999999</v>
      </c>
      <c r="J35" s="77">
        <f>H35*C35/100</f>
        <v>7491.2687999999998</v>
      </c>
      <c r="K35" s="77">
        <f t="shared" si="13"/>
        <v>33710.709600000002</v>
      </c>
      <c r="L35" s="77">
        <f t="shared" si="15"/>
        <v>42866.704800000007</v>
      </c>
      <c r="M35" s="77">
        <f t="shared" si="17"/>
        <v>32462.164799999999</v>
      </c>
      <c r="N35" s="78">
        <f t="shared" si="16"/>
        <v>38496.798000000003</v>
      </c>
      <c r="O35" s="62">
        <f>2080908/100000</f>
        <v>20.809080000000002</v>
      </c>
      <c r="P35" s="77">
        <f t="shared" si="10"/>
        <v>779.99999999999989</v>
      </c>
      <c r="Q35" s="77">
        <f t="shared" si="11"/>
        <v>359.99999999999994</v>
      </c>
      <c r="R35" s="77">
        <f t="shared" si="4"/>
        <v>1620</v>
      </c>
      <c r="S35" s="77">
        <f t="shared" si="5"/>
        <v>2060</v>
      </c>
      <c r="T35" s="77">
        <f t="shared" si="6"/>
        <v>1559.9999999999998</v>
      </c>
      <c r="U35" s="77">
        <f t="shared" si="7"/>
        <v>1850</v>
      </c>
      <c r="W35" s="53">
        <f>AVERAGE(Táblázat6[[#This Row],[Males with low formal education3]:[Females with high formal education27]])</f>
        <v>1371.6666666666667</v>
      </c>
    </row>
    <row r="36" spans="1:23" x14ac:dyDescent="0.3">
      <c r="A36" s="73" t="s">
        <v>20</v>
      </c>
      <c r="B36" s="75">
        <v>0.06</v>
      </c>
      <c r="C36" s="81">
        <v>0.1</v>
      </c>
      <c r="D36" s="75">
        <v>0.51</v>
      </c>
      <c r="E36" s="75">
        <v>0.38</v>
      </c>
      <c r="F36" s="75">
        <v>1.94</v>
      </c>
      <c r="G36" s="75">
        <v>0.71</v>
      </c>
      <c r="H36" s="76">
        <v>46937060</v>
      </c>
      <c r="I36" s="77">
        <f>H36*B36/100</f>
        <v>28162.236000000001</v>
      </c>
      <c r="J36" s="77">
        <f>H36*C36/100</f>
        <v>46937.06</v>
      </c>
      <c r="K36" s="77">
        <f t="shared" si="13"/>
        <v>239379.00600000002</v>
      </c>
      <c r="L36" s="77">
        <f t="shared" si="15"/>
        <v>178360.82800000001</v>
      </c>
      <c r="M36" s="77">
        <f t="shared" si="17"/>
        <v>910578.96399999992</v>
      </c>
      <c r="N36" s="78">
        <f t="shared" si="16"/>
        <v>333253.12599999999</v>
      </c>
      <c r="O36" s="62">
        <f>46937060/100000</f>
        <v>469.37060000000002</v>
      </c>
      <c r="P36" s="77">
        <f t="shared" si="10"/>
        <v>60</v>
      </c>
      <c r="Q36" s="77">
        <f t="shared" si="11"/>
        <v>99.999999999999986</v>
      </c>
      <c r="R36" s="77">
        <f t="shared" si="4"/>
        <v>510</v>
      </c>
      <c r="S36" s="77">
        <f t="shared" si="5"/>
        <v>380</v>
      </c>
      <c r="T36" s="77">
        <f t="shared" si="6"/>
        <v>1939.9999999999998</v>
      </c>
      <c r="U36" s="77">
        <f t="shared" si="7"/>
        <v>709.99999999999989</v>
      </c>
      <c r="W36" s="53">
        <f>AVERAGE(Táblázat6[[#This Row],[Males with low formal education3]:[Females with high formal education27]])</f>
        <v>616.66666666666663</v>
      </c>
    </row>
    <row r="37" spans="1:23" x14ac:dyDescent="0.3">
      <c r="A37" s="73" t="s">
        <v>38</v>
      </c>
      <c r="B37" s="75">
        <v>2.76</v>
      </c>
      <c r="C37" s="75">
        <v>1.23</v>
      </c>
      <c r="D37" s="75">
        <v>1.47</v>
      </c>
      <c r="E37" s="75">
        <v>0.96</v>
      </c>
      <c r="F37" s="75">
        <v>2.33</v>
      </c>
      <c r="G37" s="75">
        <v>1.82</v>
      </c>
      <c r="H37" s="76">
        <v>10230185</v>
      </c>
      <c r="I37" s="77">
        <f>H37*B37/100</f>
        <v>282353.10599999997</v>
      </c>
      <c r="J37" s="77">
        <f>H37*C37/100</f>
        <v>125831.2755</v>
      </c>
      <c r="K37" s="77">
        <f t="shared" si="13"/>
        <v>150383.71950000001</v>
      </c>
      <c r="L37" s="77">
        <f t="shared" si="15"/>
        <v>98209.775999999998</v>
      </c>
      <c r="M37" s="77">
        <f t="shared" si="17"/>
        <v>238363.31050000002</v>
      </c>
      <c r="N37" s="78">
        <f t="shared" si="16"/>
        <v>186189.367</v>
      </c>
      <c r="O37" s="62">
        <f>10230185/100000</f>
        <v>102.30185</v>
      </c>
      <c r="P37" s="77">
        <f t="shared" si="10"/>
        <v>2759.9999999999995</v>
      </c>
      <c r="Q37" s="77">
        <f t="shared" si="11"/>
        <v>1230</v>
      </c>
      <c r="R37" s="77">
        <f t="shared" si="4"/>
        <v>1470</v>
      </c>
      <c r="S37" s="77">
        <f t="shared" si="5"/>
        <v>960</v>
      </c>
      <c r="T37" s="77">
        <f t="shared" si="6"/>
        <v>2330</v>
      </c>
      <c r="U37" s="77">
        <f t="shared" si="7"/>
        <v>1820</v>
      </c>
      <c r="W37" s="53">
        <f>AVERAGE(Táblázat6[[#This Row],[Males with low formal education3]:[Females with high formal education27]])</f>
        <v>1761.6666666666667</v>
      </c>
    </row>
    <row r="38" spans="1:23" x14ac:dyDescent="0.3">
      <c r="A38" s="73" t="s">
        <v>41</v>
      </c>
      <c r="B38" s="79">
        <v>4.37</v>
      </c>
      <c r="C38" s="79">
        <v>4.6100000000000003</v>
      </c>
      <c r="D38" s="80">
        <v>4.5999999999999996</v>
      </c>
      <c r="E38" s="79">
        <v>3.55</v>
      </c>
      <c r="F38" s="79">
        <v>5.0199999999999996</v>
      </c>
      <c r="G38" s="79">
        <v>4.3499999999999996</v>
      </c>
      <c r="H38" s="76">
        <v>8544527</v>
      </c>
      <c r="I38" s="77">
        <f>H38*B38/100</f>
        <v>373395.82990000001</v>
      </c>
      <c r="J38" s="77">
        <f>H38*C38/100</f>
        <v>393902.69470000005</v>
      </c>
      <c r="K38" s="77">
        <f t="shared" si="13"/>
        <v>393048.24199999997</v>
      </c>
      <c r="L38" s="77">
        <f t="shared" si="15"/>
        <v>303330.70849999995</v>
      </c>
      <c r="M38" s="77">
        <f t="shared" si="17"/>
        <v>428935.25539999997</v>
      </c>
      <c r="N38" s="78">
        <f t="shared" si="16"/>
        <v>371686.92449999996</v>
      </c>
      <c r="O38" s="62">
        <f>8544527/100000</f>
        <v>85.445269999999994</v>
      </c>
      <c r="P38" s="77">
        <f t="shared" si="10"/>
        <v>4370.0000000000009</v>
      </c>
      <c r="Q38" s="77">
        <f t="shared" si="11"/>
        <v>4610.0000000000009</v>
      </c>
      <c r="R38" s="77">
        <f t="shared" si="4"/>
        <v>4600</v>
      </c>
      <c r="S38" s="77">
        <f t="shared" si="5"/>
        <v>3549.9999999999995</v>
      </c>
      <c r="T38" s="77">
        <f t="shared" si="6"/>
        <v>5020</v>
      </c>
      <c r="U38" s="77">
        <f t="shared" si="7"/>
        <v>4350</v>
      </c>
      <c r="W38" s="53">
        <f>AVERAGE(Táblázat6[[#This Row],[Males with low formal education3]:[Females with high formal education27]])</f>
        <v>4416.666666666667</v>
      </c>
    </row>
    <row r="39" spans="1:23" x14ac:dyDescent="0.3">
      <c r="A39" s="73" t="s">
        <v>48</v>
      </c>
      <c r="B39" s="74">
        <v>0</v>
      </c>
      <c r="C39" s="74">
        <v>0</v>
      </c>
      <c r="D39" s="74">
        <v>0</v>
      </c>
      <c r="E39" s="75">
        <v>0.42</v>
      </c>
      <c r="F39" s="75">
        <v>1.22</v>
      </c>
      <c r="G39" s="75">
        <v>0.67</v>
      </c>
      <c r="H39" s="76">
        <v>82003882</v>
      </c>
      <c r="I39" s="77"/>
      <c r="J39" s="77"/>
      <c r="K39" s="77"/>
      <c r="L39" s="77">
        <f t="shared" si="15"/>
        <v>344416.30439999996</v>
      </c>
      <c r="M39" s="77">
        <f t="shared" si="17"/>
        <v>1000447.3603999999</v>
      </c>
      <c r="N39" s="78">
        <f t="shared" si="16"/>
        <v>549426.0094000001</v>
      </c>
      <c r="O39" s="62">
        <f>82003882/100000</f>
        <v>820.03881999999999</v>
      </c>
      <c r="P39" s="96">
        <v>1596</v>
      </c>
      <c r="Q39" s="96">
        <v>966</v>
      </c>
      <c r="R39" s="96">
        <v>2151</v>
      </c>
      <c r="S39" s="77">
        <f t="shared" si="5"/>
        <v>419.99999999999994</v>
      </c>
      <c r="T39" s="77">
        <f t="shared" si="6"/>
        <v>1219.9999999999998</v>
      </c>
      <c r="U39" s="77">
        <f t="shared" si="7"/>
        <v>670.00000000000011</v>
      </c>
      <c r="W39" s="53">
        <f>AVERAGE(Táblázat6[[#This Row],[Males with low formal education3]:[Females with high formal education27]])</f>
        <v>1170.5</v>
      </c>
    </row>
    <row r="40" spans="1:23" x14ac:dyDescent="0.3">
      <c r="A40" s="83" t="s">
        <v>42</v>
      </c>
      <c r="B40" s="84">
        <v>6.06</v>
      </c>
      <c r="C40" s="84">
        <v>2.84</v>
      </c>
      <c r="D40" s="84">
        <v>4.42</v>
      </c>
      <c r="E40" s="84">
        <v>2.67</v>
      </c>
      <c r="F40" s="84">
        <v>5.85</v>
      </c>
      <c r="G40" s="84">
        <v>5.01</v>
      </c>
      <c r="H40" s="85">
        <v>66647112</v>
      </c>
      <c r="I40" s="86">
        <f>H40*B40/100</f>
        <v>4038814.9871999999</v>
      </c>
      <c r="J40" s="86">
        <f>H40*C40/100</f>
        <v>1892777.9807999998</v>
      </c>
      <c r="K40" s="86">
        <f>H40*D40/100</f>
        <v>2945802.3504000003</v>
      </c>
      <c r="L40" s="86">
        <f t="shared" si="15"/>
        <v>1779477.8903999999</v>
      </c>
      <c r="M40" s="86">
        <f t="shared" si="17"/>
        <v>3898856.0519999997</v>
      </c>
      <c r="N40" s="87">
        <f t="shared" si="16"/>
        <v>3339020.3111999999</v>
      </c>
      <c r="O40" s="62">
        <f>66647112/100000</f>
        <v>666.47112000000004</v>
      </c>
      <c r="P40" s="86">
        <f t="shared" si="10"/>
        <v>6059.9999999999991</v>
      </c>
      <c r="Q40" s="86">
        <f t="shared" si="11"/>
        <v>2839.9999999999995</v>
      </c>
      <c r="R40" s="86">
        <f t="shared" si="4"/>
        <v>4420</v>
      </c>
      <c r="S40" s="86">
        <f t="shared" si="5"/>
        <v>2669.9999999999995</v>
      </c>
      <c r="T40" s="86">
        <f t="shared" si="6"/>
        <v>5849.9999999999991</v>
      </c>
      <c r="U40" s="86">
        <f t="shared" si="7"/>
        <v>5009.9999999999991</v>
      </c>
      <c r="W40" s="53">
        <f>AVERAGE(Táblázat6[[#This Row],[Males with low formal education3]:[Females with high formal education27]])</f>
        <v>4474.9999999999991</v>
      </c>
    </row>
    <row r="41" spans="1:23" ht="89.4" customHeight="1" x14ac:dyDescent="0.3">
      <c r="O41" s="101" t="s">
        <v>126</v>
      </c>
      <c r="P41">
        <v>1596</v>
      </c>
      <c r="Q41">
        <v>966</v>
      </c>
      <c r="R41">
        <v>2151</v>
      </c>
      <c r="S41">
        <v>1815</v>
      </c>
      <c r="T41">
        <v>3395</v>
      </c>
      <c r="U41">
        <v>2799</v>
      </c>
    </row>
  </sheetData>
  <conditionalFormatting sqref="B2:B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04857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04857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04857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04857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04857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N4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:U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:W4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1"/>
  <sheetViews>
    <sheetView tabSelected="1" zoomScale="78" workbookViewId="0">
      <selection sqref="A1:H1"/>
    </sheetView>
  </sheetViews>
  <sheetFormatPr defaultRowHeight="14.4" x14ac:dyDescent="0.3"/>
  <cols>
    <col min="1" max="1" width="14.21875" customWidth="1"/>
    <col min="2" max="3" width="9.33203125" customWidth="1"/>
    <col min="4" max="4" width="14.5546875" customWidth="1"/>
    <col min="5" max="5" width="9.33203125" style="103" customWidth="1"/>
    <col min="6" max="6" width="13.5546875" customWidth="1"/>
    <col min="7" max="7" width="12" bestFit="1" customWidth="1"/>
    <col min="8" max="8" width="19.33203125" customWidth="1"/>
    <col min="11" max="11" width="21.44140625" customWidth="1"/>
  </cols>
  <sheetData>
    <row r="1" spans="1:11" ht="81" customHeight="1" thickBot="1" x14ac:dyDescent="0.35">
      <c r="A1" t="s">
        <v>129</v>
      </c>
      <c r="B1" s="19" t="s">
        <v>113</v>
      </c>
      <c r="C1" s="19" t="s">
        <v>127</v>
      </c>
      <c r="D1" s="19" t="s">
        <v>130</v>
      </c>
      <c r="E1" s="103" t="s">
        <v>131</v>
      </c>
      <c r="F1" s="19" t="s">
        <v>134</v>
      </c>
      <c r="G1" s="19" t="s">
        <v>132</v>
      </c>
      <c r="H1" s="19" t="s">
        <v>135</v>
      </c>
      <c r="K1" s="19" t="s">
        <v>136</v>
      </c>
    </row>
    <row r="2" spans="1:11" ht="15" thickBot="1" x14ac:dyDescent="0.35">
      <c r="A2" s="102" t="s">
        <v>25</v>
      </c>
      <c r="B2" s="91">
        <v>1180.5944683908046</v>
      </c>
      <c r="C2" s="91">
        <v>989.33333333333337</v>
      </c>
      <c r="D2" s="90">
        <v>76.45</v>
      </c>
      <c r="E2" s="35"/>
      <c r="F2" s="91">
        <f t="shared" ref="F2:F39" si="0">B2+C2</f>
        <v>2169.9278017241381</v>
      </c>
      <c r="G2" s="113">
        <f t="shared" ref="G2:G39" si="1">F2*D2/100</f>
        <v>1658.9098044181037</v>
      </c>
      <c r="H2" s="105">
        <f t="shared" ref="H2:H39" si="2">F2-G2</f>
        <v>511.01799730603443</v>
      </c>
      <c r="J2" s="53"/>
      <c r="K2" s="53">
        <f>AVERAGE(F2,H2)</f>
        <v>1340.4728995150863</v>
      </c>
    </row>
    <row r="3" spans="1:11" ht="15" thickBot="1" x14ac:dyDescent="0.35">
      <c r="A3" s="102" t="s">
        <v>26</v>
      </c>
      <c r="B3" s="91">
        <v>1050.2142879095213</v>
      </c>
      <c r="C3" s="91">
        <v>1263.6666666666667</v>
      </c>
      <c r="D3" s="90">
        <v>75.709999999999994</v>
      </c>
      <c r="E3" s="35"/>
      <c r="F3" s="91">
        <f t="shared" si="0"/>
        <v>2313.8809545761878</v>
      </c>
      <c r="G3" s="113">
        <f t="shared" si="1"/>
        <v>1751.8392707096316</v>
      </c>
      <c r="H3" s="105">
        <f t="shared" si="2"/>
        <v>562.04168386655624</v>
      </c>
      <c r="J3" s="53"/>
      <c r="K3" s="53">
        <f t="shared" ref="K3:K39" si="3">AVERAGE(F3,H3)</f>
        <v>1437.9613192213719</v>
      </c>
    </row>
    <row r="4" spans="1:11" ht="15" thickBot="1" x14ac:dyDescent="0.35">
      <c r="A4" s="102" t="s">
        <v>14</v>
      </c>
      <c r="B4" s="91">
        <v>1020.771687462864</v>
      </c>
      <c r="C4" s="91">
        <v>627.66666666666663</v>
      </c>
      <c r="D4" s="90">
        <v>65.45</v>
      </c>
      <c r="E4" s="35"/>
      <c r="F4" s="91">
        <f t="shared" si="0"/>
        <v>1648.4383541295306</v>
      </c>
      <c r="G4" s="113">
        <f t="shared" si="1"/>
        <v>1078.9029027777779</v>
      </c>
      <c r="H4" s="105">
        <f t="shared" si="2"/>
        <v>569.53545135175273</v>
      </c>
      <c r="J4" s="53"/>
      <c r="K4" s="53">
        <f t="shared" si="3"/>
        <v>1108.9869027406417</v>
      </c>
    </row>
    <row r="5" spans="1:11" ht="15" thickBot="1" x14ac:dyDescent="0.35">
      <c r="A5" s="102" t="s">
        <v>19</v>
      </c>
      <c r="B5" s="91">
        <v>672.72988505747117</v>
      </c>
      <c r="C5" s="91">
        <v>898.66666666666663</v>
      </c>
      <c r="D5" s="90">
        <v>63.6</v>
      </c>
      <c r="E5" s="35"/>
      <c r="F5" s="91">
        <f t="shared" si="0"/>
        <v>1571.3965517241377</v>
      </c>
      <c r="G5" s="113">
        <f t="shared" si="1"/>
        <v>999.40820689655152</v>
      </c>
      <c r="H5" s="105">
        <f t="shared" si="2"/>
        <v>571.98834482758616</v>
      </c>
      <c r="J5" s="53"/>
      <c r="K5" s="53">
        <f t="shared" si="3"/>
        <v>1071.6924482758618</v>
      </c>
    </row>
    <row r="6" spans="1:11" ht="15" thickBot="1" x14ac:dyDescent="0.35">
      <c r="A6" s="102" t="s">
        <v>32</v>
      </c>
      <c r="B6" s="91">
        <v>365</v>
      </c>
      <c r="C6" s="91">
        <v>1998.3333333333333</v>
      </c>
      <c r="D6" s="90">
        <v>72.599999999999994</v>
      </c>
      <c r="E6" s="35"/>
      <c r="F6" s="91">
        <f t="shared" si="0"/>
        <v>2363.333333333333</v>
      </c>
      <c r="G6" s="113">
        <f t="shared" si="1"/>
        <v>1715.7799999999997</v>
      </c>
      <c r="H6" s="105">
        <f t="shared" si="2"/>
        <v>647.55333333333328</v>
      </c>
      <c r="J6" s="53"/>
      <c r="K6" s="53">
        <f t="shared" si="3"/>
        <v>1505.4433333333332</v>
      </c>
    </row>
    <row r="7" spans="1:11" ht="15" thickBot="1" x14ac:dyDescent="0.35">
      <c r="A7" s="102" t="s">
        <v>47</v>
      </c>
      <c r="B7" s="91">
        <v>1333.1753069914837</v>
      </c>
      <c r="C7" s="91">
        <v>1034.5</v>
      </c>
      <c r="D7" s="90">
        <v>66.569999999999993</v>
      </c>
      <c r="E7" s="35"/>
      <c r="F7" s="91">
        <f t="shared" si="0"/>
        <v>2367.6753069914839</v>
      </c>
      <c r="G7" s="113">
        <f t="shared" si="1"/>
        <v>1576.1614518642307</v>
      </c>
      <c r="H7" s="105">
        <f t="shared" si="2"/>
        <v>791.51385512725324</v>
      </c>
      <c r="J7" s="53"/>
      <c r="K7" s="53">
        <f t="shared" si="3"/>
        <v>1579.5945810593685</v>
      </c>
    </row>
    <row r="8" spans="1:11" ht="15" thickBot="1" x14ac:dyDescent="0.35">
      <c r="A8" s="102" t="s">
        <v>18</v>
      </c>
      <c r="B8" s="91">
        <v>1703.8524650238014</v>
      </c>
      <c r="C8" s="91">
        <v>1131.6666666666667</v>
      </c>
      <c r="D8" s="90">
        <v>70.239999999999995</v>
      </c>
      <c r="E8" s="35"/>
      <c r="F8" s="91">
        <f t="shared" si="0"/>
        <v>2835.5191316904684</v>
      </c>
      <c r="G8" s="113">
        <f t="shared" si="1"/>
        <v>1991.6686380993849</v>
      </c>
      <c r="H8" s="105">
        <f t="shared" si="2"/>
        <v>843.85049359108348</v>
      </c>
      <c r="J8" s="53"/>
      <c r="K8" s="53">
        <f t="shared" si="3"/>
        <v>1839.6848126407758</v>
      </c>
    </row>
    <row r="9" spans="1:11" ht="15" thickBot="1" x14ac:dyDescent="0.35">
      <c r="A9" s="102" t="s">
        <v>44</v>
      </c>
      <c r="B9" s="91">
        <v>2310.027573956263</v>
      </c>
      <c r="C9" s="91">
        <v>725.16666666666663</v>
      </c>
      <c r="D9" s="90">
        <v>70.930000000000007</v>
      </c>
      <c r="E9" s="35"/>
      <c r="F9" s="91">
        <f t="shared" si="0"/>
        <v>3035.1942406229296</v>
      </c>
      <c r="G9" s="113">
        <f t="shared" si="1"/>
        <v>2152.8632748738441</v>
      </c>
      <c r="H9" s="105">
        <f t="shared" si="2"/>
        <v>882.33096574908541</v>
      </c>
      <c r="J9" s="53"/>
      <c r="K9" s="53">
        <f t="shared" si="3"/>
        <v>1958.7626031860075</v>
      </c>
    </row>
    <row r="10" spans="1:11" ht="15" thickBot="1" x14ac:dyDescent="0.35">
      <c r="A10" s="102" t="s">
        <v>33</v>
      </c>
      <c r="B10" s="91">
        <v>1495</v>
      </c>
      <c r="C10" s="91">
        <v>537.66666666666663</v>
      </c>
      <c r="D10" s="90">
        <v>55.14</v>
      </c>
      <c r="E10" s="35"/>
      <c r="F10" s="91">
        <f t="shared" si="0"/>
        <v>2032.6666666666665</v>
      </c>
      <c r="G10" s="113">
        <f t="shared" si="1"/>
        <v>1120.8123999999998</v>
      </c>
      <c r="H10" s="105">
        <f t="shared" si="2"/>
        <v>911.85426666666672</v>
      </c>
      <c r="J10" s="53"/>
      <c r="K10" s="53">
        <f t="shared" si="3"/>
        <v>1472.2604666666666</v>
      </c>
    </row>
    <row r="11" spans="1:11" ht="15" thickBot="1" x14ac:dyDescent="0.35">
      <c r="A11" s="102" t="s">
        <v>17</v>
      </c>
      <c r="B11" s="91">
        <v>1354.3965517241379</v>
      </c>
      <c r="C11" s="91">
        <v>1003.3333333333334</v>
      </c>
      <c r="D11" s="90">
        <v>58.86</v>
      </c>
      <c r="E11" s="35"/>
      <c r="F11" s="91">
        <f t="shared" si="0"/>
        <v>2357.7298850574712</v>
      </c>
      <c r="G11" s="113">
        <f t="shared" si="1"/>
        <v>1387.7598103448274</v>
      </c>
      <c r="H11" s="105">
        <f t="shared" si="2"/>
        <v>969.97007471264374</v>
      </c>
      <c r="J11" s="53"/>
      <c r="K11" s="53">
        <f t="shared" si="3"/>
        <v>1663.8499798850576</v>
      </c>
    </row>
    <row r="12" spans="1:11" ht="15" thickBot="1" x14ac:dyDescent="0.35">
      <c r="A12" s="102" t="s">
        <v>48</v>
      </c>
      <c r="B12" s="91">
        <v>1240.8333333333333</v>
      </c>
      <c r="C12" s="91">
        <v>1170.5</v>
      </c>
      <c r="D12" s="90">
        <v>58.42</v>
      </c>
      <c r="E12" s="35"/>
      <c r="F12" s="91">
        <f t="shared" si="0"/>
        <v>2411.333333333333</v>
      </c>
      <c r="G12" s="113">
        <f t="shared" si="1"/>
        <v>1408.7009333333333</v>
      </c>
      <c r="H12" s="105">
        <f t="shared" si="2"/>
        <v>1002.6323999999997</v>
      </c>
      <c r="J12" s="53"/>
      <c r="K12" s="53">
        <f t="shared" si="3"/>
        <v>1706.9828666666663</v>
      </c>
    </row>
    <row r="13" spans="1:11" ht="10.8" customHeight="1" thickBot="1" x14ac:dyDescent="0.35">
      <c r="A13" s="102" t="s">
        <v>49</v>
      </c>
      <c r="B13" s="91">
        <v>696.23737373737367</v>
      </c>
      <c r="C13" s="91">
        <v>1843.3333333333333</v>
      </c>
      <c r="D13" s="95">
        <v>59</v>
      </c>
      <c r="E13" s="35"/>
      <c r="F13" s="91">
        <f t="shared" si="0"/>
        <v>2539.5707070707067</v>
      </c>
      <c r="G13" s="113">
        <f t="shared" si="1"/>
        <v>1498.346717171717</v>
      </c>
      <c r="H13" s="105">
        <f t="shared" si="2"/>
        <v>1041.2239898989897</v>
      </c>
      <c r="J13" s="53"/>
      <c r="K13" s="53">
        <f t="shared" si="3"/>
        <v>1790.3973484848482</v>
      </c>
    </row>
    <row r="14" spans="1:11" ht="15" thickBot="1" x14ac:dyDescent="0.35">
      <c r="A14" s="102" t="s">
        <v>13</v>
      </c>
      <c r="B14" s="91">
        <v>617.94444444444446</v>
      </c>
      <c r="C14" s="91">
        <v>1930</v>
      </c>
      <c r="D14" s="90">
        <v>56.2</v>
      </c>
      <c r="E14" s="35"/>
      <c r="F14" s="91">
        <f t="shared" si="0"/>
        <v>2547.9444444444443</v>
      </c>
      <c r="G14" s="113">
        <f t="shared" si="1"/>
        <v>1431.944777777778</v>
      </c>
      <c r="H14" s="105">
        <f t="shared" si="2"/>
        <v>1115.9996666666664</v>
      </c>
      <c r="J14" s="53"/>
      <c r="K14" s="53">
        <f t="shared" si="3"/>
        <v>1831.9720555555555</v>
      </c>
    </row>
    <row r="15" spans="1:11" ht="15" thickBot="1" x14ac:dyDescent="0.35">
      <c r="A15" s="102" t="s">
        <v>35</v>
      </c>
      <c r="B15" s="91">
        <v>2098.9278017241377</v>
      </c>
      <c r="C15" s="91">
        <v>1371.6666666666667</v>
      </c>
      <c r="D15" s="90">
        <v>67</v>
      </c>
      <c r="E15" s="35"/>
      <c r="F15" s="91">
        <f t="shared" si="0"/>
        <v>3470.5944683908046</v>
      </c>
      <c r="G15" s="113">
        <f t="shared" si="1"/>
        <v>2325.2982938218393</v>
      </c>
      <c r="H15" s="105">
        <f t="shared" si="2"/>
        <v>1145.2961745689654</v>
      </c>
      <c r="J15" s="53"/>
      <c r="K15" s="53">
        <f t="shared" si="3"/>
        <v>2307.945321479885</v>
      </c>
    </row>
    <row r="16" spans="1:11" ht="15" thickBot="1" x14ac:dyDescent="0.35">
      <c r="A16" s="102" t="s">
        <v>24</v>
      </c>
      <c r="B16" s="91">
        <v>1106.2777777777778</v>
      </c>
      <c r="C16" s="91">
        <v>2230</v>
      </c>
      <c r="D16" s="90">
        <v>65.11</v>
      </c>
      <c r="E16" s="35"/>
      <c r="F16" s="91">
        <f t="shared" si="0"/>
        <v>3336.2777777777778</v>
      </c>
      <c r="G16" s="113">
        <f t="shared" si="1"/>
        <v>2172.2504611111112</v>
      </c>
      <c r="H16" s="105">
        <f t="shared" si="2"/>
        <v>1164.0273166666666</v>
      </c>
      <c r="J16" s="53"/>
      <c r="K16" s="53">
        <f t="shared" si="3"/>
        <v>2250.152547222222</v>
      </c>
    </row>
    <row r="17" spans="1:11" ht="15" thickBot="1" x14ac:dyDescent="0.35">
      <c r="A17" s="102" t="s">
        <v>46</v>
      </c>
      <c r="B17" s="91">
        <v>1615.002519490032</v>
      </c>
      <c r="C17" s="91">
        <v>1807</v>
      </c>
      <c r="D17" s="90">
        <v>65.59</v>
      </c>
      <c r="E17" s="35"/>
      <c r="F17" s="91">
        <f t="shared" si="0"/>
        <v>3422.0025194900318</v>
      </c>
      <c r="G17" s="113">
        <f t="shared" si="1"/>
        <v>2244.4914525335121</v>
      </c>
      <c r="H17" s="105">
        <f t="shared" si="2"/>
        <v>1177.5110669565197</v>
      </c>
      <c r="J17" s="53"/>
      <c r="K17" s="53">
        <f t="shared" si="3"/>
        <v>2299.756793223276</v>
      </c>
    </row>
    <row r="18" spans="1:11" ht="15" thickBot="1" x14ac:dyDescent="0.35">
      <c r="A18" s="102" t="s">
        <v>36</v>
      </c>
      <c r="B18" s="91">
        <v>1420.8333333333333</v>
      </c>
      <c r="C18" s="91">
        <v>1785</v>
      </c>
      <c r="D18" s="90">
        <v>61.45</v>
      </c>
      <c r="E18" s="35"/>
      <c r="F18" s="91">
        <f t="shared" si="0"/>
        <v>3205.833333333333</v>
      </c>
      <c r="G18" s="113">
        <f t="shared" si="1"/>
        <v>1969.9845833333331</v>
      </c>
      <c r="H18" s="105">
        <f t="shared" si="2"/>
        <v>1235.8487499999999</v>
      </c>
      <c r="J18" s="53"/>
      <c r="K18" s="53">
        <f t="shared" si="3"/>
        <v>2220.8410416666666</v>
      </c>
    </row>
    <row r="19" spans="1:11" ht="14.4" customHeight="1" thickBot="1" x14ac:dyDescent="0.35">
      <c r="A19" s="102" t="s">
        <v>45</v>
      </c>
      <c r="B19" s="91">
        <v>2214.4029453169287</v>
      </c>
      <c r="C19" s="91">
        <v>1399.3333333333333</v>
      </c>
      <c r="D19" s="90">
        <v>64.599999999999994</v>
      </c>
      <c r="E19" s="35"/>
      <c r="F19" s="91">
        <f t="shared" si="0"/>
        <v>3613.7362786502617</v>
      </c>
      <c r="G19" s="113">
        <f t="shared" si="1"/>
        <v>2334.4736360080688</v>
      </c>
      <c r="H19" s="105">
        <f t="shared" si="2"/>
        <v>1279.262642642193</v>
      </c>
      <c r="J19" s="53"/>
      <c r="K19" s="53">
        <f t="shared" si="3"/>
        <v>2446.4994606462274</v>
      </c>
    </row>
    <row r="20" spans="1:11" ht="15" thickBot="1" x14ac:dyDescent="0.35">
      <c r="A20" s="102" t="s">
        <v>34</v>
      </c>
      <c r="B20" s="91">
        <v>1495</v>
      </c>
      <c r="C20" s="91">
        <v>1706.6666666666667</v>
      </c>
      <c r="D20" s="95">
        <v>59</v>
      </c>
      <c r="E20" s="35"/>
      <c r="F20" s="91">
        <f t="shared" si="0"/>
        <v>3201.666666666667</v>
      </c>
      <c r="G20" s="113">
        <f t="shared" si="1"/>
        <v>1888.9833333333333</v>
      </c>
      <c r="H20" s="105">
        <f t="shared" si="2"/>
        <v>1312.6833333333336</v>
      </c>
      <c r="J20" s="53"/>
      <c r="K20" s="53">
        <f t="shared" si="3"/>
        <v>2257.1750000000002</v>
      </c>
    </row>
    <row r="21" spans="1:11" ht="12" customHeight="1" thickBot="1" x14ac:dyDescent="0.35">
      <c r="A21" s="102" t="s">
        <v>20</v>
      </c>
      <c r="B21" s="91">
        <v>3000.8333333333335</v>
      </c>
      <c r="C21" s="91">
        <v>616.66666666666663</v>
      </c>
      <c r="D21" s="90">
        <v>62.37</v>
      </c>
      <c r="E21" s="35"/>
      <c r="F21" s="91">
        <f t="shared" si="0"/>
        <v>3617.5</v>
      </c>
      <c r="G21" s="113">
        <f t="shared" si="1"/>
        <v>2256.2347499999996</v>
      </c>
      <c r="H21" s="105">
        <f t="shared" si="2"/>
        <v>1361.2652500000004</v>
      </c>
      <c r="J21" s="53"/>
      <c r="K21" s="53">
        <f t="shared" si="3"/>
        <v>2489.3826250000002</v>
      </c>
    </row>
    <row r="22" spans="1:11" ht="15" thickBot="1" x14ac:dyDescent="0.35">
      <c r="A22" s="102" t="s">
        <v>27</v>
      </c>
      <c r="B22" s="91">
        <v>3014.1666666666665</v>
      </c>
      <c r="C22" s="91">
        <v>705.33333333333337</v>
      </c>
      <c r="D22" s="90">
        <v>58.88</v>
      </c>
      <c r="E22" s="35"/>
      <c r="F22" s="91">
        <f t="shared" si="0"/>
        <v>3719.5</v>
      </c>
      <c r="G22" s="113">
        <f t="shared" si="1"/>
        <v>2190.0416</v>
      </c>
      <c r="H22" s="105">
        <f t="shared" si="2"/>
        <v>1529.4584</v>
      </c>
      <c r="J22" s="53"/>
      <c r="K22" s="53">
        <f t="shared" si="3"/>
        <v>2624.4791999999998</v>
      </c>
    </row>
    <row r="23" spans="1:11" ht="15" thickBot="1" x14ac:dyDescent="0.35">
      <c r="A23" s="102" t="s">
        <v>23</v>
      </c>
      <c r="B23" s="91">
        <v>1889.1666666666667</v>
      </c>
      <c r="C23" s="91">
        <v>1665.3333333333333</v>
      </c>
      <c r="D23" s="90">
        <v>55.76</v>
      </c>
      <c r="E23" s="35"/>
      <c r="F23" s="91">
        <f t="shared" si="0"/>
        <v>3554.5</v>
      </c>
      <c r="G23" s="113">
        <f t="shared" si="1"/>
        <v>1981.9891999999998</v>
      </c>
      <c r="H23" s="105">
        <f t="shared" si="2"/>
        <v>1572.5108000000002</v>
      </c>
      <c r="J23" s="53"/>
      <c r="K23" s="53">
        <f t="shared" si="3"/>
        <v>2563.5054</v>
      </c>
    </row>
    <row r="24" spans="1:11" ht="15" thickBot="1" x14ac:dyDescent="0.35">
      <c r="A24" s="102" t="s">
        <v>12</v>
      </c>
      <c r="B24" s="91">
        <v>1941.6666666666667</v>
      </c>
      <c r="C24" s="91">
        <v>2470</v>
      </c>
      <c r="D24" s="90">
        <v>63.4</v>
      </c>
      <c r="E24" s="35"/>
      <c r="F24" s="91">
        <f t="shared" si="0"/>
        <v>4411.666666666667</v>
      </c>
      <c r="G24" s="113">
        <f t="shared" si="1"/>
        <v>2796.9966666666669</v>
      </c>
      <c r="H24" s="105">
        <f t="shared" si="2"/>
        <v>1614.67</v>
      </c>
      <c r="J24" s="53"/>
      <c r="K24" s="53">
        <f t="shared" si="3"/>
        <v>3013.1683333333335</v>
      </c>
    </row>
    <row r="25" spans="1:11" ht="15" thickBot="1" x14ac:dyDescent="0.35">
      <c r="A25" s="102" t="s">
        <v>37</v>
      </c>
      <c r="B25" s="91">
        <v>1910.3676470588234</v>
      </c>
      <c r="C25" s="91">
        <v>1614.3333333333333</v>
      </c>
      <c r="D25" s="90">
        <v>53.95</v>
      </c>
      <c r="E25" s="35"/>
      <c r="F25" s="91">
        <f t="shared" si="0"/>
        <v>3524.7009803921565</v>
      </c>
      <c r="G25" s="113">
        <f t="shared" si="1"/>
        <v>1901.5761789215685</v>
      </c>
      <c r="H25" s="105">
        <f t="shared" si="2"/>
        <v>1623.124801470588</v>
      </c>
      <c r="J25" s="53"/>
      <c r="K25" s="53">
        <f t="shared" si="3"/>
        <v>2573.9128909313722</v>
      </c>
    </row>
    <row r="26" spans="1:11" ht="15" thickBot="1" x14ac:dyDescent="0.35">
      <c r="A26" s="102" t="s">
        <v>31</v>
      </c>
      <c r="B26" s="91">
        <v>2091.6666666666665</v>
      </c>
      <c r="C26" s="91">
        <v>2020</v>
      </c>
      <c r="D26" s="90">
        <v>51.99</v>
      </c>
      <c r="E26" s="35"/>
      <c r="F26" s="91">
        <f t="shared" si="0"/>
        <v>4111.6666666666661</v>
      </c>
      <c r="G26" s="113">
        <f t="shared" si="1"/>
        <v>2137.6554999999998</v>
      </c>
      <c r="H26" s="105">
        <f t="shared" si="2"/>
        <v>1974.0111666666662</v>
      </c>
      <c r="J26" s="53"/>
      <c r="K26" s="53">
        <f t="shared" si="3"/>
        <v>3042.8389166666661</v>
      </c>
    </row>
    <row r="27" spans="1:11" ht="15" thickBot="1" x14ac:dyDescent="0.35">
      <c r="A27" s="102" t="s">
        <v>38</v>
      </c>
      <c r="B27" s="91">
        <v>3292.5</v>
      </c>
      <c r="C27" s="91">
        <v>1761.6666666666667</v>
      </c>
      <c r="D27" s="90">
        <v>53.19</v>
      </c>
      <c r="E27" s="35"/>
      <c r="F27" s="91">
        <f t="shared" si="0"/>
        <v>5054.166666666667</v>
      </c>
      <c r="G27" s="113">
        <f t="shared" si="1"/>
        <v>2688.3112500000002</v>
      </c>
      <c r="H27" s="105">
        <f t="shared" si="2"/>
        <v>2365.8554166666668</v>
      </c>
      <c r="J27" s="53"/>
      <c r="K27" s="53">
        <f t="shared" si="3"/>
        <v>3710.0110416666666</v>
      </c>
    </row>
    <row r="28" spans="1:11" ht="11.4" customHeight="1" thickBot="1" x14ac:dyDescent="0.35">
      <c r="A28" s="102" t="s">
        <v>43</v>
      </c>
      <c r="B28" s="91">
        <v>1396.4586432274061</v>
      </c>
      <c r="C28" s="91">
        <v>6083.333333333333</v>
      </c>
      <c r="D28" s="90">
        <v>65.989999999999995</v>
      </c>
      <c r="E28" s="35"/>
      <c r="F28" s="91">
        <f t="shared" si="0"/>
        <v>7479.7919765607394</v>
      </c>
      <c r="G28" s="113">
        <f t="shared" si="1"/>
        <v>4935.9147253324309</v>
      </c>
      <c r="H28" s="105">
        <f t="shared" si="2"/>
        <v>2543.8772512283085</v>
      </c>
      <c r="J28" s="53"/>
      <c r="K28" s="53">
        <f t="shared" si="3"/>
        <v>5011.8346138945235</v>
      </c>
    </row>
    <row r="29" spans="1:11" ht="15" thickBot="1" x14ac:dyDescent="0.35">
      <c r="A29" s="102" t="s">
        <v>22</v>
      </c>
      <c r="B29" s="91">
        <v>1536.6666666666667</v>
      </c>
      <c r="C29" s="91">
        <v>5388.333333333333</v>
      </c>
      <c r="D29" s="90">
        <v>61.45</v>
      </c>
      <c r="E29" s="35"/>
      <c r="F29" s="91">
        <f t="shared" si="0"/>
        <v>6925</v>
      </c>
      <c r="G29" s="113">
        <f t="shared" si="1"/>
        <v>4255.4125000000004</v>
      </c>
      <c r="H29" s="105">
        <f t="shared" si="2"/>
        <v>2669.5874999999996</v>
      </c>
      <c r="J29" s="53"/>
      <c r="K29" s="53">
        <f t="shared" si="3"/>
        <v>4797.2937499999998</v>
      </c>
    </row>
    <row r="30" spans="1:11" ht="15" thickBot="1" x14ac:dyDescent="0.35">
      <c r="A30" s="102" t="s">
        <v>16</v>
      </c>
      <c r="B30" s="91">
        <v>954.16666666666663</v>
      </c>
      <c r="C30" s="91">
        <v>5656.666666666667</v>
      </c>
      <c r="D30" s="90">
        <v>53.49</v>
      </c>
      <c r="E30" s="35"/>
      <c r="F30" s="91">
        <f t="shared" si="0"/>
        <v>6610.8333333333339</v>
      </c>
      <c r="G30" s="113">
        <f t="shared" si="1"/>
        <v>3536.1347500000002</v>
      </c>
      <c r="H30" s="105">
        <f t="shared" si="2"/>
        <v>3074.6985833333338</v>
      </c>
      <c r="J30" s="53"/>
      <c r="K30" s="53">
        <f t="shared" si="3"/>
        <v>4842.7659583333334</v>
      </c>
    </row>
    <row r="31" spans="1:11" ht="15" thickBot="1" x14ac:dyDescent="0.35">
      <c r="A31" s="102" t="s">
        <v>28</v>
      </c>
      <c r="B31" s="91">
        <v>4895.833333333333</v>
      </c>
      <c r="C31" s="91">
        <v>3098.3333333333335</v>
      </c>
      <c r="D31" s="90">
        <v>61.15</v>
      </c>
      <c r="E31" s="35"/>
      <c r="F31" s="91">
        <f t="shared" si="0"/>
        <v>7994.1666666666661</v>
      </c>
      <c r="G31" s="113">
        <f t="shared" si="1"/>
        <v>4888.4329166666666</v>
      </c>
      <c r="H31" s="105">
        <f t="shared" si="2"/>
        <v>3105.7337499999994</v>
      </c>
      <c r="J31" s="53"/>
      <c r="K31" s="53">
        <f t="shared" si="3"/>
        <v>5549.9502083333327</v>
      </c>
    </row>
    <row r="32" spans="1:11" ht="15" thickBot="1" x14ac:dyDescent="0.35">
      <c r="A32" s="102" t="s">
        <v>30</v>
      </c>
      <c r="B32" s="91">
        <v>2193.3333333333335</v>
      </c>
      <c r="C32" s="91">
        <v>5031.666666666667</v>
      </c>
      <c r="D32" s="90">
        <v>54.2</v>
      </c>
      <c r="E32" s="35"/>
      <c r="F32" s="91">
        <f t="shared" si="0"/>
        <v>7225</v>
      </c>
      <c r="G32" s="113">
        <f t="shared" si="1"/>
        <v>3915.95</v>
      </c>
      <c r="H32" s="105">
        <f t="shared" si="2"/>
        <v>3309.05</v>
      </c>
      <c r="J32" s="53"/>
      <c r="K32" s="53">
        <f t="shared" si="3"/>
        <v>5267.0249999999996</v>
      </c>
    </row>
    <row r="33" spans="1:11" ht="15" thickBot="1" x14ac:dyDescent="0.35">
      <c r="A33" s="102" t="s">
        <v>15</v>
      </c>
      <c r="B33" s="91">
        <v>5585.833333333333</v>
      </c>
      <c r="C33" s="91">
        <v>814.33333333333337</v>
      </c>
      <c r="D33" s="90">
        <v>47.24</v>
      </c>
      <c r="E33" s="35"/>
      <c r="F33" s="91">
        <f t="shared" si="0"/>
        <v>6400.1666666666661</v>
      </c>
      <c r="G33" s="113">
        <f t="shared" si="1"/>
        <v>3023.4387333333329</v>
      </c>
      <c r="H33" s="105">
        <f t="shared" si="2"/>
        <v>3376.7279333333331</v>
      </c>
      <c r="J33" s="53"/>
      <c r="K33" s="53">
        <f t="shared" si="3"/>
        <v>4888.4472999999998</v>
      </c>
    </row>
    <row r="34" spans="1:11" ht="15" thickBot="1" x14ac:dyDescent="0.35">
      <c r="A34" s="102" t="s">
        <v>39</v>
      </c>
      <c r="B34" s="91">
        <v>5292.5</v>
      </c>
      <c r="C34" s="91">
        <v>2988.3333333333335</v>
      </c>
      <c r="D34" s="90">
        <v>52.48</v>
      </c>
      <c r="E34" s="35"/>
      <c r="F34" s="91">
        <f t="shared" si="0"/>
        <v>8280.8333333333339</v>
      </c>
      <c r="G34" s="113">
        <f t="shared" si="1"/>
        <v>4345.7813333333334</v>
      </c>
      <c r="H34" s="105">
        <f t="shared" si="2"/>
        <v>3935.0520000000006</v>
      </c>
      <c r="J34" s="53"/>
      <c r="K34" s="53">
        <f t="shared" si="3"/>
        <v>6107.9426666666677</v>
      </c>
    </row>
    <row r="35" spans="1:11" ht="15" thickBot="1" x14ac:dyDescent="0.35">
      <c r="A35" s="102" t="s">
        <v>21</v>
      </c>
      <c r="B35" s="91">
        <v>5272.5</v>
      </c>
      <c r="C35" s="91">
        <v>3206.6666666666665</v>
      </c>
      <c r="D35" s="90">
        <v>44.06</v>
      </c>
      <c r="E35" s="35"/>
      <c r="F35" s="91">
        <f t="shared" si="0"/>
        <v>8479.1666666666661</v>
      </c>
      <c r="G35" s="113">
        <f t="shared" si="1"/>
        <v>3735.9208333333331</v>
      </c>
      <c r="H35" s="105">
        <f t="shared" si="2"/>
        <v>4743.2458333333325</v>
      </c>
      <c r="J35" s="53"/>
      <c r="K35" s="53">
        <f t="shared" si="3"/>
        <v>6611.2062499999993</v>
      </c>
    </row>
    <row r="36" spans="1:11" ht="15" thickBot="1" x14ac:dyDescent="0.35">
      <c r="A36" s="102" t="s">
        <v>41</v>
      </c>
      <c r="B36" s="91">
        <v>4240.833333333333</v>
      </c>
      <c r="C36" s="91">
        <v>4416.666666666667</v>
      </c>
      <c r="D36" s="90">
        <v>41.69</v>
      </c>
      <c r="E36" s="35"/>
      <c r="F36" s="91">
        <f t="shared" si="0"/>
        <v>8657.5</v>
      </c>
      <c r="G36" s="113">
        <f t="shared" si="1"/>
        <v>3609.3117499999998</v>
      </c>
      <c r="H36" s="105">
        <f t="shared" si="2"/>
        <v>5048.1882500000002</v>
      </c>
      <c r="J36" s="53"/>
      <c r="K36" s="53">
        <f t="shared" si="3"/>
        <v>6852.8441249999996</v>
      </c>
    </row>
    <row r="37" spans="1:11" ht="15" thickBot="1" x14ac:dyDescent="0.35">
      <c r="A37" s="102" t="s">
        <v>29</v>
      </c>
      <c r="B37" s="91">
        <v>4794.9756944444443</v>
      </c>
      <c r="C37" s="91">
        <v>4918.333333333333</v>
      </c>
      <c r="D37" s="90">
        <v>43.47</v>
      </c>
      <c r="E37" s="35"/>
      <c r="F37" s="91">
        <f t="shared" si="0"/>
        <v>9713.3090277777774</v>
      </c>
      <c r="G37" s="113">
        <f t="shared" si="1"/>
        <v>4222.3754343749997</v>
      </c>
      <c r="H37" s="105">
        <f t="shared" si="2"/>
        <v>5490.9335934027777</v>
      </c>
      <c r="J37" s="53"/>
      <c r="K37" s="53">
        <f t="shared" si="3"/>
        <v>7602.1213105902771</v>
      </c>
    </row>
    <row r="38" spans="1:11" ht="15" thickBot="1" x14ac:dyDescent="0.35">
      <c r="A38" s="102" t="s">
        <v>42</v>
      </c>
      <c r="B38" s="91">
        <v>7058.333333333333</v>
      </c>
      <c r="C38" s="91">
        <v>4474.9999999999991</v>
      </c>
      <c r="D38" s="90">
        <v>45.85</v>
      </c>
      <c r="E38" s="35"/>
      <c r="F38" s="91">
        <f t="shared" si="0"/>
        <v>11533.333333333332</v>
      </c>
      <c r="G38" s="113">
        <f t="shared" si="1"/>
        <v>5288.0333333333328</v>
      </c>
      <c r="H38" s="105">
        <f t="shared" si="2"/>
        <v>6245.2999999999993</v>
      </c>
      <c r="J38" s="53"/>
      <c r="K38" s="53">
        <f t="shared" si="3"/>
        <v>8889.3166666666657</v>
      </c>
    </row>
    <row r="39" spans="1:11" ht="15" thickBot="1" x14ac:dyDescent="0.35">
      <c r="A39" s="102" t="s">
        <v>40</v>
      </c>
      <c r="B39" s="91">
        <v>4373.5632183908046</v>
      </c>
      <c r="C39" s="91">
        <v>5273.333333333333</v>
      </c>
      <c r="D39" s="90">
        <v>32.97</v>
      </c>
      <c r="E39" s="35"/>
      <c r="F39" s="91">
        <f t="shared" si="0"/>
        <v>9646.8965517241377</v>
      </c>
      <c r="G39" s="113">
        <f t="shared" si="1"/>
        <v>3180.581793103448</v>
      </c>
      <c r="H39" s="105">
        <f t="shared" si="2"/>
        <v>6466.3147586206896</v>
      </c>
      <c r="J39" s="53"/>
      <c r="K39" s="53">
        <f t="shared" si="3"/>
        <v>8056.6056551724141</v>
      </c>
    </row>
    <row r="40" spans="1:11" ht="28.8" x14ac:dyDescent="0.3">
      <c r="A40" s="104"/>
      <c r="B40" s="19"/>
      <c r="C40" s="19"/>
      <c r="D40" s="19" t="s">
        <v>133</v>
      </c>
      <c r="F40" s="19"/>
      <c r="G40" s="19"/>
      <c r="H40" s="19"/>
    </row>
    <row r="41" spans="1:11" ht="49.2" customHeight="1" x14ac:dyDescent="0.3">
      <c r="A41" s="90"/>
    </row>
  </sheetData>
  <conditionalFormatting sqref="F1:F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10485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Countris_ALL</vt:lpstr>
      <vt:lpstr>Countries</vt:lpstr>
      <vt:lpstr>Individums</vt:lpstr>
      <vt:lpstr>Countris_By_Age&amp;Sex</vt:lpstr>
      <vt:lpstr>Countris_By_Education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Sárosdi Márk</dc:creator>
  <cp:lastModifiedBy>Lttd</cp:lastModifiedBy>
  <dcterms:created xsi:type="dcterms:W3CDTF">2023-10-13T13:01:44Z</dcterms:created>
  <dcterms:modified xsi:type="dcterms:W3CDTF">2023-10-24T12:38:33Z</dcterms:modified>
</cp:coreProperties>
</file>