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Latitude\AppData\Local\Temp\scp46776\var\www\miau\data\miau\324\dronok\"/>
    </mc:Choice>
  </mc:AlternateContent>
  <xr:revisionPtr revIDLastSave="0" documentId="13_ncr:1_{A33CB391-6A1F-466B-A50C-76137C094E6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Téma Célkitűzés" sheetId="2" r:id="rId1"/>
    <sheet name="Országok mutatói" sheetId="3" r:id="rId2"/>
    <sheet name="Iránykód" sheetId="9" r:id="rId3"/>
    <sheet name="Elemzési irány" sheetId="5" r:id="rId4"/>
    <sheet name="Medián érték" sheetId="7" r:id="rId5"/>
    <sheet name="Országok korlátozottsági indexe" sheetId="8" r:id="rId6"/>
    <sheet name="korrelációs együtthatók" sheetId="4" r:id="rId7"/>
    <sheet name="korrelációs_mátrix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3" l="1"/>
  <c r="L19" i="3"/>
  <c r="K19" i="3"/>
  <c r="J19" i="3"/>
  <c r="H19" i="3"/>
  <c r="G19" i="3"/>
  <c r="F19" i="3"/>
  <c r="E19" i="3"/>
  <c r="D19" i="3"/>
  <c r="C19" i="3"/>
  <c r="B19" i="3"/>
  <c r="N18" i="3"/>
  <c r="L18" i="3"/>
  <c r="K18" i="3"/>
  <c r="J18" i="3"/>
  <c r="H18" i="3"/>
  <c r="G18" i="3"/>
  <c r="F18" i="3"/>
  <c r="E18" i="3"/>
  <c r="D18" i="3"/>
  <c r="C18" i="3"/>
  <c r="B18" i="3"/>
  <c r="N17" i="3"/>
  <c r="L17" i="3"/>
  <c r="K17" i="3"/>
  <c r="J17" i="3"/>
  <c r="H17" i="3"/>
  <c r="G17" i="3"/>
  <c r="F17" i="3"/>
  <c r="E17" i="3"/>
  <c r="D17" i="3"/>
  <c r="C17" i="3"/>
  <c r="B17" i="3"/>
  <c r="N16" i="3"/>
  <c r="L16" i="3"/>
  <c r="K16" i="3"/>
  <c r="J16" i="3"/>
  <c r="H16" i="3"/>
  <c r="G16" i="3"/>
  <c r="F16" i="3"/>
  <c r="E16" i="3"/>
  <c r="D16" i="3"/>
  <c r="C16" i="3"/>
  <c r="B16" i="3"/>
  <c r="N15" i="3"/>
  <c r="L15" i="3"/>
  <c r="K15" i="3"/>
  <c r="J15" i="3"/>
  <c r="H15" i="3"/>
  <c r="G15" i="3"/>
  <c r="F15" i="3"/>
  <c r="E15" i="3"/>
  <c r="D15" i="3"/>
  <c r="C15" i="3"/>
  <c r="B15" i="3"/>
  <c r="N14" i="3"/>
  <c r="L14" i="3"/>
  <c r="K14" i="3"/>
  <c r="J14" i="3"/>
  <c r="H14" i="3"/>
  <c r="G14" i="3"/>
  <c r="F14" i="3"/>
  <c r="E14" i="3"/>
  <c r="D14" i="3"/>
  <c r="C14" i="3"/>
  <c r="B14" i="3"/>
  <c r="A19" i="3"/>
  <c r="A18" i="3"/>
  <c r="A17" i="3"/>
  <c r="A16" i="3"/>
  <c r="A15" i="3"/>
  <c r="A14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A13" i="3"/>
  <c r="C65" i="8"/>
  <c r="D4" i="8"/>
  <c r="D5" i="8"/>
  <c r="D6" i="8"/>
  <c r="D7" i="8"/>
  <c r="D3" i="8"/>
  <c r="D13" i="8"/>
  <c r="D14" i="8"/>
  <c r="D15" i="8"/>
  <c r="D16" i="8"/>
  <c r="D12" i="8"/>
  <c r="D22" i="8"/>
  <c r="D23" i="8"/>
  <c r="D24" i="8"/>
  <c r="D25" i="8"/>
  <c r="D21" i="8"/>
  <c r="D31" i="8"/>
  <c r="D32" i="8"/>
  <c r="D33" i="8"/>
  <c r="D34" i="8"/>
  <c r="D30" i="8"/>
  <c r="D49" i="8"/>
  <c r="D50" i="8"/>
  <c r="D51" i="8"/>
  <c r="D52" i="8"/>
  <c r="D48" i="8"/>
  <c r="D40" i="8"/>
  <c r="D41" i="8"/>
  <c r="D42" i="8"/>
  <c r="D43" i="8"/>
  <c r="D39" i="8"/>
  <c r="B61" i="8"/>
  <c r="B62" i="8"/>
  <c r="B63" i="8"/>
  <c r="B64" i="8"/>
  <c r="B60" i="8"/>
  <c r="D2" i="9"/>
  <c r="E2" i="9"/>
  <c r="F2" i="9"/>
  <c r="G2" i="9"/>
  <c r="D3" i="9"/>
  <c r="E3" i="9"/>
  <c r="F3" i="9"/>
  <c r="G3" i="9"/>
  <c r="D4" i="9"/>
  <c r="E4" i="9"/>
  <c r="F4" i="9"/>
  <c r="G4" i="9"/>
  <c r="D5" i="9"/>
  <c r="E5" i="9"/>
  <c r="F5" i="9"/>
  <c r="G5" i="9"/>
  <c r="D6" i="9"/>
  <c r="E6" i="9"/>
  <c r="F6" i="9"/>
  <c r="G6" i="9"/>
  <c r="D7" i="9"/>
  <c r="E7" i="9"/>
  <c r="F7" i="9"/>
  <c r="G7" i="9"/>
  <c r="A2" i="9"/>
  <c r="C3" i="9"/>
  <c r="C4" i="9"/>
  <c r="C5" i="9"/>
  <c r="C6" i="9"/>
  <c r="C7" i="9"/>
  <c r="C2" i="9"/>
  <c r="B3" i="9"/>
  <c r="B4" i="9"/>
  <c r="B5" i="9"/>
  <c r="B6" i="9"/>
  <c r="B7" i="9"/>
  <c r="C18" i="9" s="1"/>
  <c r="B2" i="9"/>
  <c r="A3" i="9"/>
  <c r="A4" i="9"/>
  <c r="A5" i="9"/>
  <c r="A6" i="9"/>
  <c r="A7" i="9"/>
  <c r="A1" i="9"/>
  <c r="G12" i="9"/>
  <c r="A16" i="9"/>
  <c r="A14" i="9"/>
  <c r="I12" i="9"/>
  <c r="E12" i="9"/>
  <c r="A15" i="9"/>
  <c r="H12" i="9"/>
  <c r="A17" i="9"/>
  <c r="D12" i="9"/>
  <c r="F12" i="9"/>
  <c r="A18" i="9"/>
  <c r="A13" i="9"/>
  <c r="C13" i="9" l="1"/>
  <c r="H13" i="9" s="1"/>
  <c r="F13" i="9"/>
  <c r="E13" i="9"/>
  <c r="I14" i="9"/>
  <c r="D13" i="9"/>
  <c r="C17" i="9"/>
  <c r="F17" i="9" s="1"/>
  <c r="I13" i="9"/>
  <c r="C16" i="9"/>
  <c r="I16" i="9" s="1"/>
  <c r="C15" i="9"/>
  <c r="H15" i="9" s="1"/>
  <c r="C14" i="9"/>
  <c r="D14" i="9" s="1"/>
  <c r="H18" i="9"/>
  <c r="E18" i="9"/>
  <c r="F18" i="9"/>
  <c r="I18" i="9"/>
  <c r="D18" i="9"/>
  <c r="G18" i="9"/>
  <c r="D5" i="5"/>
  <c r="D4" i="5"/>
  <c r="D3" i="5"/>
  <c r="D2" i="5"/>
  <c r="D7" i="5"/>
  <c r="D8" i="5"/>
  <c r="D6" i="5"/>
  <c r="N7" i="7"/>
  <c r="L7" i="7"/>
  <c r="K7" i="7"/>
  <c r="J7" i="7"/>
  <c r="H7" i="7"/>
  <c r="G7" i="7"/>
  <c r="F7" i="7"/>
  <c r="E7" i="7"/>
  <c r="D7" i="7"/>
  <c r="C7" i="7"/>
  <c r="N6" i="7"/>
  <c r="L6" i="7"/>
  <c r="K6" i="7"/>
  <c r="J6" i="7"/>
  <c r="H6" i="7"/>
  <c r="G6" i="7"/>
  <c r="F6" i="7"/>
  <c r="E6" i="7"/>
  <c r="D6" i="7"/>
  <c r="C6" i="7"/>
  <c r="N5" i="7"/>
  <c r="L5" i="7"/>
  <c r="K5" i="7"/>
  <c r="J5" i="7"/>
  <c r="H5" i="7"/>
  <c r="G5" i="7"/>
  <c r="F5" i="7"/>
  <c r="E5" i="7"/>
  <c r="D5" i="7"/>
  <c r="C5" i="7"/>
  <c r="N4" i="7"/>
  <c r="L4" i="7"/>
  <c r="K4" i="7"/>
  <c r="J4" i="7"/>
  <c r="H4" i="7"/>
  <c r="G4" i="7"/>
  <c r="F4" i="7"/>
  <c r="E4" i="7"/>
  <c r="D4" i="7"/>
  <c r="C4" i="7"/>
  <c r="N3" i="7"/>
  <c r="L3" i="7"/>
  <c r="K3" i="7"/>
  <c r="J3" i="7"/>
  <c r="H3" i="7"/>
  <c r="G3" i="7"/>
  <c r="F3" i="7"/>
  <c r="E3" i="7"/>
  <c r="D3" i="7"/>
  <c r="C3" i="7"/>
  <c r="B7" i="7"/>
  <c r="B6" i="7"/>
  <c r="B5" i="7"/>
  <c r="B4" i="7"/>
  <c r="B3" i="7"/>
  <c r="C2" i="7"/>
  <c r="D2" i="7"/>
  <c r="E2" i="7"/>
  <c r="F2" i="7"/>
  <c r="G2" i="7"/>
  <c r="H2" i="7"/>
  <c r="J2" i="7"/>
  <c r="K2" i="7"/>
  <c r="L2" i="7"/>
  <c r="N2" i="7"/>
  <c r="B2" i="7"/>
  <c r="J15" i="8"/>
  <c r="J14" i="8"/>
  <c r="J13" i="8"/>
  <c r="J12" i="8"/>
  <c r="J11" i="8"/>
  <c r="I15" i="8"/>
  <c r="I14" i="8"/>
  <c r="I13" i="8"/>
  <c r="I12" i="8"/>
  <c r="I11" i="8"/>
  <c r="B52" i="8"/>
  <c r="B51" i="8"/>
  <c r="B50" i="8"/>
  <c r="B49" i="8"/>
  <c r="B48" i="8"/>
  <c r="B43" i="8"/>
  <c r="B42" i="8"/>
  <c r="B41" i="8"/>
  <c r="B40" i="8"/>
  <c r="B39" i="8"/>
  <c r="B34" i="8"/>
  <c r="B33" i="8"/>
  <c r="B32" i="8"/>
  <c r="B31" i="8"/>
  <c r="B30" i="8"/>
  <c r="B25" i="8"/>
  <c r="C25" i="8" s="1"/>
  <c r="E25" i="8" s="1"/>
  <c r="B24" i="8"/>
  <c r="B23" i="8"/>
  <c r="B22" i="8"/>
  <c r="B21" i="8"/>
  <c r="B16" i="8"/>
  <c r="B15" i="8"/>
  <c r="B14" i="8"/>
  <c r="B13" i="8"/>
  <c r="C13" i="8" s="1"/>
  <c r="E13" i="8" s="1"/>
  <c r="B12" i="8"/>
  <c r="B7" i="8"/>
  <c r="B5" i="8"/>
  <c r="B6" i="8"/>
  <c r="B4" i="8"/>
  <c r="B3" i="8"/>
  <c r="C4" i="6"/>
  <c r="D4" i="6"/>
  <c r="E4" i="6"/>
  <c r="F4" i="6"/>
  <c r="G4" i="6"/>
  <c r="H4" i="6"/>
  <c r="J4" i="6"/>
  <c r="K4" i="6"/>
  <c r="L4" i="6"/>
  <c r="N4" i="6"/>
  <c r="C5" i="6"/>
  <c r="D5" i="6"/>
  <c r="E5" i="6"/>
  <c r="F5" i="6"/>
  <c r="G5" i="6"/>
  <c r="H5" i="6"/>
  <c r="J5" i="6"/>
  <c r="K5" i="6"/>
  <c r="L5" i="6"/>
  <c r="N5" i="6"/>
  <c r="C6" i="6"/>
  <c r="D6" i="6"/>
  <c r="E6" i="6"/>
  <c r="F6" i="6"/>
  <c r="G6" i="6"/>
  <c r="H6" i="6"/>
  <c r="J6" i="6"/>
  <c r="K6" i="6"/>
  <c r="L6" i="6"/>
  <c r="N6" i="6"/>
  <c r="C7" i="6"/>
  <c r="D7" i="6"/>
  <c r="E7" i="6"/>
  <c r="F7" i="6"/>
  <c r="G7" i="6"/>
  <c r="H7" i="6"/>
  <c r="J7" i="6"/>
  <c r="K7" i="6"/>
  <c r="L7" i="6"/>
  <c r="N7" i="6"/>
  <c r="C8" i="6"/>
  <c r="D8" i="6"/>
  <c r="E8" i="6"/>
  <c r="F8" i="6"/>
  <c r="G8" i="6"/>
  <c r="H8" i="6"/>
  <c r="J8" i="6"/>
  <c r="K8" i="6"/>
  <c r="L8" i="6"/>
  <c r="N8" i="6"/>
  <c r="C10" i="6"/>
  <c r="D10" i="6"/>
  <c r="E10" i="6"/>
  <c r="F10" i="6"/>
  <c r="G10" i="6"/>
  <c r="H10" i="6"/>
  <c r="J10" i="6"/>
  <c r="K10" i="6"/>
  <c r="L10" i="6"/>
  <c r="N10" i="6"/>
  <c r="C11" i="6"/>
  <c r="D11" i="6"/>
  <c r="E11" i="6"/>
  <c r="F11" i="6"/>
  <c r="G11" i="6"/>
  <c r="H11" i="6"/>
  <c r="J11" i="6"/>
  <c r="K11" i="6"/>
  <c r="L11" i="6"/>
  <c r="N11" i="6"/>
  <c r="C12" i="6"/>
  <c r="D12" i="6"/>
  <c r="E12" i="6"/>
  <c r="F12" i="6"/>
  <c r="G12" i="6"/>
  <c r="H12" i="6"/>
  <c r="J12" i="6"/>
  <c r="K12" i="6"/>
  <c r="L12" i="6"/>
  <c r="N12" i="6"/>
  <c r="C14" i="6"/>
  <c r="D14" i="6"/>
  <c r="E14" i="6"/>
  <c r="F14" i="6"/>
  <c r="G14" i="6"/>
  <c r="H14" i="6"/>
  <c r="J14" i="6"/>
  <c r="K14" i="6"/>
  <c r="L14" i="6"/>
  <c r="N14" i="6"/>
  <c r="C3" i="6"/>
  <c r="D3" i="6"/>
  <c r="E3" i="6"/>
  <c r="F3" i="6"/>
  <c r="G3" i="6"/>
  <c r="H3" i="6"/>
  <c r="J3" i="6"/>
  <c r="K3" i="6"/>
  <c r="L3" i="6"/>
  <c r="N3" i="6"/>
  <c r="B3" i="6"/>
  <c r="B4" i="6"/>
  <c r="B5" i="6"/>
  <c r="B6" i="6"/>
  <c r="B7" i="6"/>
  <c r="B8" i="6"/>
  <c r="B10" i="6"/>
  <c r="B11" i="6"/>
  <c r="B12" i="6"/>
  <c r="B14" i="6"/>
  <c r="C2" i="6"/>
  <c r="D2" i="6"/>
  <c r="E2" i="6"/>
  <c r="F2" i="6"/>
  <c r="G2" i="6"/>
  <c r="H2" i="6"/>
  <c r="J2" i="6"/>
  <c r="K2" i="6"/>
  <c r="L2" i="6"/>
  <c r="N2" i="6"/>
  <c r="B2" i="6"/>
  <c r="I1" i="6"/>
  <c r="J1" i="6"/>
  <c r="K1" i="6"/>
  <c r="L1" i="6"/>
  <c r="M1" i="6"/>
  <c r="N1" i="6"/>
  <c r="O1" i="6"/>
  <c r="P1" i="6"/>
  <c r="Q1" i="6"/>
  <c r="R1" i="6"/>
  <c r="S1" i="6"/>
  <c r="C1" i="6"/>
  <c r="D1" i="6"/>
  <c r="E1" i="6"/>
  <c r="F1" i="6"/>
  <c r="G1" i="6"/>
  <c r="H1" i="6"/>
  <c r="B1" i="6"/>
  <c r="A4" i="6"/>
  <c r="A12" i="6"/>
  <c r="A14" i="6"/>
  <c r="A8" i="6"/>
  <c r="A19" i="6"/>
  <c r="A7" i="6"/>
  <c r="A2" i="6"/>
  <c r="A3" i="6"/>
  <c r="A16" i="6"/>
  <c r="A9" i="6"/>
  <c r="A5" i="6"/>
  <c r="A6" i="6"/>
  <c r="A13" i="6"/>
  <c r="A10" i="6"/>
  <c r="A17" i="6"/>
  <c r="A18" i="6"/>
  <c r="A11" i="6"/>
  <c r="A15" i="6"/>
  <c r="C24" i="8" l="1"/>
  <c r="E24" i="8" s="1"/>
  <c r="C41" i="8"/>
  <c r="E41" i="8" s="1"/>
  <c r="C3" i="8"/>
  <c r="E3" i="8" s="1"/>
  <c r="C31" i="8"/>
  <c r="E31" i="8" s="1"/>
  <c r="G17" i="9"/>
  <c r="C12" i="8"/>
  <c r="E12" i="8" s="1"/>
  <c r="C50" i="8"/>
  <c r="E50" i="8" s="1"/>
  <c r="H17" i="9"/>
  <c r="G13" i="9"/>
  <c r="I17" i="9"/>
  <c r="C14" i="8"/>
  <c r="E14" i="8" s="1"/>
  <c r="C30" i="8"/>
  <c r="E30" i="8" s="1"/>
  <c r="E35" i="8" s="1"/>
  <c r="C43" i="8"/>
  <c r="E43" i="8" s="1"/>
  <c r="C32" i="8"/>
  <c r="E32" i="8" s="1"/>
  <c r="C48" i="8"/>
  <c r="E48" i="8" s="1"/>
  <c r="F15" i="9"/>
  <c r="C6" i="8"/>
  <c r="E6" i="8" s="1"/>
  <c r="C21" i="8"/>
  <c r="E21" i="8" s="1"/>
  <c r="C49" i="8"/>
  <c r="E49" i="8" s="1"/>
  <c r="C52" i="8"/>
  <c r="E52" i="8" s="1"/>
  <c r="C5" i="8"/>
  <c r="E5" i="8" s="1"/>
  <c r="C34" i="8"/>
  <c r="E34" i="8" s="1"/>
  <c r="C7" i="8"/>
  <c r="E7" i="8" s="1"/>
  <c r="E8" i="8" s="1"/>
  <c r="C23" i="8"/>
  <c r="E23" i="8" s="1"/>
  <c r="C39" i="8"/>
  <c r="E39" i="8" s="1"/>
  <c r="C51" i="8"/>
  <c r="E51" i="8" s="1"/>
  <c r="C4" i="8"/>
  <c r="E4" i="8" s="1"/>
  <c r="D17" i="9"/>
  <c r="H14" i="9"/>
  <c r="C40" i="8"/>
  <c r="E40" i="8" s="1"/>
  <c r="E17" i="9"/>
  <c r="C22" i="8"/>
  <c r="E22" i="8" s="1"/>
  <c r="E16" i="9"/>
  <c r="C16" i="8"/>
  <c r="E16" i="8" s="1"/>
  <c r="I15" i="9"/>
  <c r="I19" i="9" s="1"/>
  <c r="G15" i="9"/>
  <c r="G16" i="9"/>
  <c r="D16" i="9"/>
  <c r="C33" i="8"/>
  <c r="E33" i="8" s="1"/>
  <c r="C42" i="8"/>
  <c r="E42" i="8" s="1"/>
  <c r="E44" i="8" s="1"/>
  <c r="F16" i="9"/>
  <c r="H16" i="9"/>
  <c r="E14" i="9"/>
  <c r="C15" i="8"/>
  <c r="E15" i="8" s="1"/>
  <c r="E15" i="9"/>
  <c r="D15" i="9"/>
  <c r="F14" i="9"/>
  <c r="G14" i="9"/>
  <c r="G19" i="9" s="1"/>
  <c r="H19" i="9" l="1"/>
  <c r="E53" i="8"/>
  <c r="F19" i="9"/>
  <c r="E17" i="8"/>
  <c r="E26" i="8"/>
  <c r="D19" i="9"/>
  <c r="E19" i="9"/>
  <c r="D14" i="5"/>
  <c r="B14" i="4" s="1"/>
  <c r="D12" i="5"/>
  <c r="B12" i="4" s="1"/>
  <c r="D11" i="5"/>
  <c r="B11" i="4" s="1"/>
  <c r="D10" i="5"/>
  <c r="B10" i="4" s="1"/>
  <c r="S3" i="3"/>
  <c r="S4" i="3"/>
  <c r="S5" i="3"/>
  <c r="S6" i="3"/>
  <c r="S7" i="3"/>
  <c r="S2" i="3"/>
  <c r="R3" i="3"/>
  <c r="R4" i="3"/>
  <c r="R5" i="3"/>
  <c r="R6" i="3"/>
  <c r="R7" i="3"/>
  <c r="R2" i="3"/>
  <c r="Q3" i="3"/>
  <c r="Q4" i="3"/>
  <c r="Q5" i="3"/>
  <c r="Q6" i="3"/>
  <c r="Q7" i="3"/>
  <c r="Q2" i="3"/>
  <c r="P3" i="3"/>
  <c r="P4" i="3"/>
  <c r="P5" i="3"/>
  <c r="P6" i="3"/>
  <c r="P7" i="3"/>
  <c r="P2" i="3"/>
  <c r="O3" i="3"/>
  <c r="O4" i="3"/>
  <c r="O5" i="3"/>
  <c r="O6" i="3"/>
  <c r="O7" i="3"/>
  <c r="O2" i="3"/>
  <c r="M3" i="3"/>
  <c r="M4" i="3"/>
  <c r="M5" i="3"/>
  <c r="M6" i="3"/>
  <c r="M7" i="3"/>
  <c r="M2" i="3"/>
  <c r="I3" i="3"/>
  <c r="I4" i="3"/>
  <c r="I5" i="3"/>
  <c r="I6" i="3"/>
  <c r="I7" i="3"/>
  <c r="I2" i="3"/>
  <c r="O16" i="3" l="1"/>
  <c r="M18" i="3"/>
  <c r="P14" i="3"/>
  <c r="S16" i="3"/>
  <c r="R18" i="3"/>
  <c r="D9" i="5"/>
  <c r="B9" i="4" s="1"/>
  <c r="I14" i="3"/>
  <c r="D17" i="5"/>
  <c r="B17" i="4" s="1"/>
  <c r="Q14" i="3"/>
  <c r="I7" i="7"/>
  <c r="I19" i="3"/>
  <c r="M5" i="7"/>
  <c r="M17" i="3"/>
  <c r="O3" i="7"/>
  <c r="O15" i="3"/>
  <c r="Q7" i="7"/>
  <c r="Q19" i="3"/>
  <c r="R5" i="7"/>
  <c r="R17" i="3"/>
  <c r="S15" i="3"/>
  <c r="I18" i="3"/>
  <c r="M16" i="3"/>
  <c r="Q18" i="3"/>
  <c r="R16" i="3"/>
  <c r="I17" i="3"/>
  <c r="M15" i="3"/>
  <c r="P19" i="3"/>
  <c r="Q17" i="3"/>
  <c r="R15" i="3"/>
  <c r="I16" i="3"/>
  <c r="O14" i="3"/>
  <c r="P18" i="3"/>
  <c r="Q16" i="3"/>
  <c r="S14" i="3"/>
  <c r="I15" i="3"/>
  <c r="O19" i="3"/>
  <c r="P17" i="3"/>
  <c r="Q15" i="3"/>
  <c r="S19" i="3"/>
  <c r="M14" i="3"/>
  <c r="O18" i="3"/>
  <c r="P16" i="3"/>
  <c r="R14" i="3"/>
  <c r="S6" i="7"/>
  <c r="S18" i="3"/>
  <c r="M19" i="3"/>
  <c r="O17" i="3"/>
  <c r="P15" i="3"/>
  <c r="R19" i="3"/>
  <c r="S17" i="3"/>
  <c r="I6" i="7"/>
  <c r="M4" i="7"/>
  <c r="P11" i="6"/>
  <c r="C16" i="6"/>
  <c r="K16" i="6"/>
  <c r="P19" i="6"/>
  <c r="P12" i="6"/>
  <c r="L16" i="6"/>
  <c r="P3" i="6"/>
  <c r="P4" i="6"/>
  <c r="D16" i="6"/>
  <c r="P5" i="6"/>
  <c r="P13" i="6"/>
  <c r="E16" i="6"/>
  <c r="B16" i="6"/>
  <c r="P7" i="6"/>
  <c r="P15" i="6"/>
  <c r="C16" i="5"/>
  <c r="P2" i="7"/>
  <c r="P6" i="6"/>
  <c r="P14" i="6"/>
  <c r="F16" i="6"/>
  <c r="N16" i="6"/>
  <c r="P2" i="6"/>
  <c r="G16" i="6"/>
  <c r="C17" i="4"/>
  <c r="P8" i="6"/>
  <c r="P9" i="6"/>
  <c r="P17" i="6"/>
  <c r="P10" i="6"/>
  <c r="J16" i="6"/>
  <c r="P18" i="6"/>
  <c r="H16" i="6"/>
  <c r="P16" i="6"/>
  <c r="Q6" i="7"/>
  <c r="I5" i="7"/>
  <c r="M3" i="7"/>
  <c r="P7" i="7"/>
  <c r="Q5" i="7"/>
  <c r="I4" i="7"/>
  <c r="O4" i="6"/>
  <c r="O12" i="6"/>
  <c r="D15" i="6"/>
  <c r="L15" i="6"/>
  <c r="O3" i="6"/>
  <c r="O5" i="6"/>
  <c r="B15" i="6"/>
  <c r="O13" i="6"/>
  <c r="E15" i="6"/>
  <c r="O2" i="7"/>
  <c r="O6" i="6"/>
  <c r="O14" i="6"/>
  <c r="F15" i="6"/>
  <c r="N15" i="6"/>
  <c r="O2" i="6"/>
  <c r="O8" i="6"/>
  <c r="O16" i="6"/>
  <c r="O9" i="6"/>
  <c r="O7" i="6"/>
  <c r="G15" i="6"/>
  <c r="O15" i="6"/>
  <c r="H15" i="6"/>
  <c r="C15" i="5"/>
  <c r="O10" i="6"/>
  <c r="J15" i="6"/>
  <c r="O18" i="6"/>
  <c r="O11" i="6"/>
  <c r="C15" i="6"/>
  <c r="K15" i="6"/>
  <c r="O19" i="6"/>
  <c r="O17" i="6"/>
  <c r="C16" i="4"/>
  <c r="P6" i="7"/>
  <c r="Q4" i="7"/>
  <c r="S8" i="6"/>
  <c r="S16" i="6"/>
  <c r="H19" i="6"/>
  <c r="S9" i="6"/>
  <c r="S17" i="6"/>
  <c r="C19" i="5"/>
  <c r="S10" i="6"/>
  <c r="S18" i="6"/>
  <c r="J19" i="6"/>
  <c r="C19" i="4"/>
  <c r="S4" i="6"/>
  <c r="L19" i="6"/>
  <c r="S11" i="6"/>
  <c r="C19" i="6"/>
  <c r="K19" i="6"/>
  <c r="S19" i="6"/>
  <c r="S12" i="6"/>
  <c r="D19" i="6"/>
  <c r="S3" i="6"/>
  <c r="S5" i="6"/>
  <c r="S2" i="7"/>
  <c r="S6" i="6"/>
  <c r="S14" i="6"/>
  <c r="F19" i="6"/>
  <c r="N19" i="6"/>
  <c r="S2" i="6"/>
  <c r="S7" i="6"/>
  <c r="S15" i="6"/>
  <c r="G19" i="6"/>
  <c r="S13" i="6"/>
  <c r="B19" i="6"/>
  <c r="E19" i="6"/>
  <c r="D15" i="5"/>
  <c r="B15" i="4" s="1"/>
  <c r="S7" i="7"/>
  <c r="D16" i="5"/>
  <c r="B16" i="4" s="1"/>
  <c r="P4" i="7"/>
  <c r="R9" i="6"/>
  <c r="R17" i="6"/>
  <c r="R10" i="6"/>
  <c r="R18" i="6"/>
  <c r="J18" i="6"/>
  <c r="R11" i="6"/>
  <c r="C18" i="6"/>
  <c r="K18" i="6"/>
  <c r="R19" i="6"/>
  <c r="R5" i="6"/>
  <c r="R13" i="6"/>
  <c r="E18" i="6"/>
  <c r="R2" i="7"/>
  <c r="C18" i="5"/>
  <c r="R4" i="6"/>
  <c r="R12" i="6"/>
  <c r="D18" i="6"/>
  <c r="L18" i="6"/>
  <c r="R3" i="6"/>
  <c r="B18" i="6"/>
  <c r="R6" i="6"/>
  <c r="R7" i="6"/>
  <c r="R15" i="6"/>
  <c r="G18" i="6"/>
  <c r="R8" i="6"/>
  <c r="R16" i="6"/>
  <c r="H18" i="6"/>
  <c r="R2" i="6"/>
  <c r="N18" i="6"/>
  <c r="F18" i="6"/>
  <c r="R14" i="6"/>
  <c r="S5" i="7"/>
  <c r="D18" i="5"/>
  <c r="B18" i="4" s="1"/>
  <c r="I3" i="7"/>
  <c r="O7" i="7"/>
  <c r="P5" i="7"/>
  <c r="Q3" i="7"/>
  <c r="C13" i="5"/>
  <c r="M2" i="7"/>
  <c r="M6" i="6"/>
  <c r="F13" i="6"/>
  <c r="N13" i="6"/>
  <c r="M14" i="6"/>
  <c r="M2" i="6"/>
  <c r="M7" i="6"/>
  <c r="G13" i="6"/>
  <c r="M15" i="6"/>
  <c r="M8" i="6"/>
  <c r="H13" i="6"/>
  <c r="M16" i="6"/>
  <c r="J13" i="6"/>
  <c r="K13" i="6"/>
  <c r="M9" i="6"/>
  <c r="M17" i="6"/>
  <c r="M10" i="6"/>
  <c r="M18" i="6"/>
  <c r="M11" i="6"/>
  <c r="C13" i="6"/>
  <c r="M4" i="6"/>
  <c r="M12" i="6"/>
  <c r="D13" i="6"/>
  <c r="L13" i="6"/>
  <c r="M3" i="6"/>
  <c r="M5" i="6"/>
  <c r="E13" i="6"/>
  <c r="M13" i="6"/>
  <c r="B13" i="6"/>
  <c r="M19" i="6"/>
  <c r="C14" i="4"/>
  <c r="O6" i="7"/>
  <c r="M7" i="7"/>
  <c r="O5" i="7"/>
  <c r="P3" i="7"/>
  <c r="R7" i="7"/>
  <c r="J9" i="6"/>
  <c r="I10" i="6"/>
  <c r="I18" i="6"/>
  <c r="C13" i="4"/>
  <c r="C12" i="5"/>
  <c r="C9" i="6"/>
  <c r="K9" i="6"/>
  <c r="I11" i="6"/>
  <c r="I19" i="6"/>
  <c r="C11" i="5"/>
  <c r="I4" i="6"/>
  <c r="D9" i="6"/>
  <c r="L9" i="6"/>
  <c r="I12" i="6"/>
  <c r="I3" i="6"/>
  <c r="C11" i="4"/>
  <c r="D11" i="4" s="1"/>
  <c r="I2" i="7"/>
  <c r="F9" i="6"/>
  <c r="I14" i="6"/>
  <c r="I2" i="6"/>
  <c r="C10" i="4"/>
  <c r="D10" i="4" s="1"/>
  <c r="I7" i="6"/>
  <c r="C10" i="5"/>
  <c r="I5" i="6"/>
  <c r="E9" i="6"/>
  <c r="I13" i="6"/>
  <c r="B9" i="6"/>
  <c r="C9" i="4"/>
  <c r="D9" i="4" s="1"/>
  <c r="C9" i="5"/>
  <c r="I6" i="6"/>
  <c r="N9" i="6"/>
  <c r="G9" i="6"/>
  <c r="I8" i="6"/>
  <c r="H9" i="6"/>
  <c r="I16" i="6"/>
  <c r="C15" i="4"/>
  <c r="C14" i="5"/>
  <c r="I9" i="6"/>
  <c r="I17" i="6"/>
  <c r="C12" i="4"/>
  <c r="D12" i="4" s="1"/>
  <c r="I15" i="6"/>
  <c r="C3" i="4"/>
  <c r="C2" i="5"/>
  <c r="B2" i="4" s="1"/>
  <c r="C2" i="4"/>
  <c r="C8" i="5"/>
  <c r="B8" i="4" s="1"/>
  <c r="C6" i="5"/>
  <c r="B6" i="4" s="1"/>
  <c r="C8" i="4"/>
  <c r="C7" i="5"/>
  <c r="B7" i="4" s="1"/>
  <c r="C7" i="4"/>
  <c r="C5" i="5"/>
  <c r="B5" i="4" s="1"/>
  <c r="C5" i="4"/>
  <c r="C4" i="5"/>
  <c r="B4" i="4" s="1"/>
  <c r="C4" i="4"/>
  <c r="C3" i="5"/>
  <c r="B3" i="4" s="1"/>
  <c r="C6" i="4"/>
  <c r="M6" i="7"/>
  <c r="O4" i="7"/>
  <c r="Q10" i="6"/>
  <c r="J17" i="6"/>
  <c r="Q18" i="6"/>
  <c r="Q11" i="6"/>
  <c r="K17" i="6"/>
  <c r="Q19" i="6"/>
  <c r="C17" i="6"/>
  <c r="Q4" i="6"/>
  <c r="Q12" i="6"/>
  <c r="D17" i="6"/>
  <c r="L17" i="6"/>
  <c r="Q3" i="6"/>
  <c r="Q2" i="7"/>
  <c r="Q6" i="6"/>
  <c r="Q14" i="6"/>
  <c r="F17" i="6"/>
  <c r="Q5" i="6"/>
  <c r="Q13" i="6"/>
  <c r="E17" i="6"/>
  <c r="B17" i="6"/>
  <c r="C18" i="4"/>
  <c r="C17" i="5"/>
  <c r="N17" i="6"/>
  <c r="Q2" i="6"/>
  <c r="Q7" i="6"/>
  <c r="Q8" i="6"/>
  <c r="Q16" i="6"/>
  <c r="H17" i="6"/>
  <c r="Q9" i="6"/>
  <c r="Q17" i="6"/>
  <c r="Q15" i="6"/>
  <c r="G17" i="6"/>
  <c r="R6" i="7"/>
  <c r="S4" i="7"/>
  <c r="D19" i="5"/>
  <c r="B19" i="4" s="1"/>
  <c r="S3" i="7"/>
  <c r="R4" i="7"/>
  <c r="D13" i="5"/>
  <c r="B13" i="4" s="1"/>
  <c r="R3" i="7"/>
  <c r="D14" i="4"/>
  <c r="D17" i="4" l="1"/>
  <c r="D13" i="4"/>
  <c r="T18" i="3"/>
  <c r="T15" i="3"/>
  <c r="T19" i="3"/>
  <c r="T17" i="3"/>
  <c r="T16" i="3"/>
  <c r="T14" i="3"/>
  <c r="D16" i="4"/>
  <c r="T7" i="7"/>
  <c r="D2" i="4"/>
  <c r="D15" i="4"/>
  <c r="D19" i="4"/>
  <c r="D8" i="4"/>
  <c r="T6" i="7"/>
  <c r="D6" i="4"/>
  <c r="D4" i="4"/>
  <c r="T2" i="7"/>
  <c r="D7" i="4"/>
  <c r="T3" i="7"/>
  <c r="T5" i="7"/>
  <c r="D5" i="4"/>
  <c r="D3" i="4"/>
  <c r="D18" i="4"/>
  <c r="T4" i="7"/>
</calcChain>
</file>

<file path=xl/sharedStrings.xml><?xml version="1.0" encoding="utf-8"?>
<sst xmlns="http://schemas.openxmlformats.org/spreadsheetml/2006/main" count="386" uniqueCount="206">
  <si>
    <t>Ország</t>
  </si>
  <si>
    <t>Szabad terület (km²)</t>
  </si>
  <si>
    <t>Szabad terület aránya (%)</t>
  </si>
  <si>
    <t>Regisztrált üzemeltetők</t>
  </si>
  <si>
    <t>Operatív engedélyek</t>
  </si>
  <si>
    <t>A1/A3 tanúsítványok</t>
  </si>
  <si>
    <t>A2 tanúsítványok</t>
  </si>
  <si>
    <t>Magyarország</t>
  </si>
  <si>
    <t>Ausztria</t>
  </si>
  <si>
    <t>Románia</t>
  </si>
  <si>
    <t>Szlovákia</t>
  </si>
  <si>
    <t>Szlovénia</t>
  </si>
  <si>
    <t>Németország</t>
  </si>
  <si>
    <t>Teljes terület (km²)</t>
  </si>
  <si>
    <t>Tiltott légterek (km²)</t>
  </si>
  <si>
    <t>Korlátozott légterek (km²)</t>
  </si>
  <si>
    <t>Katonai zónák (km²)</t>
  </si>
  <si>
    <t>Repülőtér zónák (km²)</t>
  </si>
  <si>
    <t>Természetvédelmi területek (km²)</t>
  </si>
  <si>
    <t>A2 tanusítvány arány (%)</t>
  </si>
  <si>
    <t>A1/A3 tanusítvány arány (%)</t>
  </si>
  <si>
    <t>Tanusítvány/Üzemeltető arány</t>
  </si>
  <si>
    <t xml:space="preserve">Operatív engedély /Üzemeltető arány (%)  </t>
  </si>
  <si>
    <t>A2 tanusítvány / A1-A3 tanusítvány arány (%)</t>
  </si>
  <si>
    <t>%</t>
  </si>
  <si>
    <t>korreláció</t>
  </si>
  <si>
    <t>Szabad terület / A1-A3 pilóta (km2/pilóta)</t>
  </si>
  <si>
    <t>Téma</t>
  </si>
  <si>
    <t>Leírás</t>
  </si>
  <si>
    <t>Célkitűzés</t>
  </si>
  <si>
    <t>Módszertan</t>
  </si>
  <si>
    <t>Vizsgált adatok</t>
  </si>
  <si>
    <t>Az adatok, melyek a szabályozásokat, tiltott légtereket, engedélyek számát, és drónosztályokat tartalmazzák.</t>
  </si>
  <si>
    <t>Használt eszközök</t>
  </si>
  <si>
    <t>Kutatási téma</t>
  </si>
  <si>
    <t>Túl korlátozott-e a Magyar dróntörvény a környező országok drónszabályaihoz képest?</t>
  </si>
  <si>
    <t>Vizsgált országok</t>
  </si>
  <si>
    <t>Magyarország és 5 környező ország: Ausztria, Románia, Szlovákia, Szlovénia, Németország</t>
  </si>
  <si>
    <t xml:space="preserve"> A kutatás célja annak vizsgálata, hogy a Magyar dróntörvény túl szigorú-e a környező országokhoz képest, és mely mutatókat figylembe véve mérjük meg a szigorúságot. A cél annak megállapítása, hogy a magyar szabályozás túl szigorú-e, vagy inkább arányos a többi ország szabályozásához képest, a következő mutatók alapján: tiltott légtér; korlátozott légtér; katonai zóna; stb. /Munkalap: Országok mutatói/</t>
  </si>
  <si>
    <t xml:space="preserve">Mutató </t>
  </si>
  <si>
    <t>km2</t>
  </si>
  <si>
    <t>fő</t>
  </si>
  <si>
    <t>db</t>
  </si>
  <si>
    <t>km2/pilóta</t>
  </si>
  <si>
    <t>Mutató</t>
  </si>
  <si>
    <t>Iránykód</t>
  </si>
  <si>
    <t>Hatás</t>
  </si>
  <si>
    <t>Magyarázat</t>
  </si>
  <si>
    <t>Mértékegység</t>
  </si>
  <si>
    <t>A katonai zónákban nem lehet repülni, tehát minél kevesebb van, annál jobb – csökkenés a pozitív irány.</t>
  </si>
  <si>
    <t>Ezeken nem lehet repülni, tehát ha kevesebb van, az jobb – csökkenés pozitív.</t>
  </si>
  <si>
    <t>Minél többen repülnek legálisan, annál jobb – tehát növekedés pozitív.</t>
  </si>
  <si>
    <t>Érték</t>
  </si>
  <si>
    <t>Korrelációs érték</t>
  </si>
  <si>
    <t>Jelentés</t>
  </si>
  <si>
    <t>Szín</t>
  </si>
  <si>
    <t>Nincs kapcsolat ,
a két változó nem befolyásolja 
egymást láthatóan , linerális módon</t>
  </si>
  <si>
    <t>Tökéletes pozitív lineáris kapcsolat van 
a két változó között. Ez azt jelenti, hogy 
amikor az egyik változó értéke növekszik,
 a másik változó értéke is pontosan 
arányosan növekszik. A változók pontosan 
ugyanazon irányba mozognak</t>
  </si>
  <si>
    <t>Excel táblázatok, statisztikai módszerek.</t>
  </si>
  <si>
    <t xml:space="preserve">Erős negatív kapcsolat két változó között
ha az egyik változó növekszik, akkor a másik 
ugyanolyan mértékben csökken. 
Például, ha a tiltott légterek terüülete 
növekszik, akkor ezzel arányosan csökken 
a szabadon használható drónterület. 
A két változó ellentétes irányban mozog. </t>
  </si>
  <si>
    <t>A nagyobb országokban több szabad
 drónhasználatra alkalmas térület van.</t>
  </si>
  <si>
    <t>Több tiltott terület ellenére is lehet 
összességében elég használható szabad tér.</t>
  </si>
  <si>
    <t>Nincs számottevő kapcsolat , a korlátozások
 szinta alig befolyásolják a lehetőségeket.</t>
  </si>
  <si>
    <t>A katonai tiltott területi zónák szinte alig befolyásolják a drónhasználatot.</t>
  </si>
  <si>
    <t>A repülőtéri korlátozásoknak, minimális a hatása van az általános használatra</t>
  </si>
  <si>
    <t>A természetvédelmi korlátozások és a szabad területek aránya, 
szintén nem jelentős az országok szintjén.</t>
  </si>
  <si>
    <t>Minél több a szabad terület, annál jobbak a drónhasználati lehetőségek.</t>
  </si>
  <si>
    <t>Tökéletes pozitív kapcsolat: döntően ez határozza meg a használhatóságot</t>
  </si>
  <si>
    <t>A több üzemeltető nem feltétlen jelent automatikusan jobb környezetet</t>
  </si>
  <si>
    <t>Több tanúsítvány nem jelent több lehetőséget , inkább egy szabályozási nyomást, korlátozást jelezhet.</t>
  </si>
  <si>
    <t>Magyarázat a hatásra , a korrelációs érték és a mutatók viszonya kapcsán</t>
  </si>
  <si>
    <t>Az A2 tanusítvány arány  nem döntő, de minimálisan pozitív hatás vált ki.</t>
  </si>
  <si>
    <t>Alig van kapcsolat, ez nem javítja fel a repülési lehetőségeket</t>
  </si>
  <si>
    <t>A több engedély önmagában nem jelenti azt, hogy jobb a gyakorlati szabadság.</t>
  </si>
  <si>
    <t>Ott, ahol kevesebb A2 szükséges az A1/A3-hoz képest, 
általában nagyobb a szabad használhatóság , vagyis nem szükséges szigorúbb jogosítás.</t>
  </si>
  <si>
    <t>Ha kevés pilótára sok szabad terület jut, az kedvezőbb a drónhasználat szempontjából.</t>
  </si>
  <si>
    <t>A több engedély aránya kis mértékben pozitívan korrelál a használhatósággal , 
ami inkább alkalmazkodás, nem a szabad használat tükrözése.</t>
  </si>
  <si>
    <t>A2 tanusítvány szám azt jelzi, hogy sok pilóta kénytelen komolyabb jogosítványt szerezni, 
ami szigorúbb szabályozásra utalhat</t>
  </si>
  <si>
    <t>A minimális pozitív kapcsolat, nem egy számottevő tényező,
igazából egy semleges kapcsolat, vagy egy enyhén negatív
Nagyon gyenge negatív kapcsolat, vagyis az A1/A3 tanúsítvány arány gyakorlatilag 
nincs nagyon hatással a drónhasználat szabadságára</t>
  </si>
  <si>
    <t>Több tanúsítvány = több képzett pilóta abből adódik, hogy a növekedés jó.</t>
  </si>
  <si>
    <t>Ha ez az arány túl nagy, akkor az aránytalanságot jelezhet, csökken a  pozitív hatás.</t>
  </si>
  <si>
    <t>Ha egy ember túl sok tanúsítvánnyal rendelkezik, torzulás lehet, így a kisebb arány, a jó.</t>
  </si>
  <si>
    <t>Ahol tilos drónt reptetni</t>
  </si>
  <si>
    <t>Külön engedéllyel használható</t>
  </si>
  <si>
    <t>Jellemzően zárt vagy engedélyköteles</t>
  </si>
  <si>
    <t>Automatikus repülési tilalom a közelség miatt</t>
  </si>
  <si>
    <t>Általában tilos vagy erősen szabályozott</t>
  </si>
  <si>
    <t>Indoklás</t>
  </si>
  <si>
    <t>Korlátozott mutatók</t>
  </si>
  <si>
    <t>Normál érték (0-1)</t>
  </si>
  <si>
    <t>Súlyozott szám (feltételezett súlyozás)</t>
  </si>
  <si>
    <t>Részpontszám (Normál érték * Súly)</t>
  </si>
  <si>
    <t>Alacsony jelentőségű (pl. kisebb kiegészítő mutató)</t>
  </si>
  <si>
    <t>Közepes jelentőségű</t>
  </si>
  <si>
    <t>0,15–0,20</t>
  </si>
  <si>
    <t>Fontos mutató, nagy hatással van a korlátozottságra</t>
  </si>
  <si>
    <t>&gt; 0,20</t>
  </si>
  <si>
    <t>Ritka, de lehetséges, ha egyetlen tényező dominál</t>
  </si>
  <si>
    <t>Súlyérték</t>
  </si>
  <si>
    <t>Súlyozás értelmező segédtábla</t>
  </si>
  <si>
    <t>Mutatók</t>
  </si>
  <si>
    <t xml:space="preserve"> Maximum érték országok</t>
  </si>
  <si>
    <t>Minimum érték országok</t>
  </si>
  <si>
    <t>Összesített részpontszám
korlátozott mutatók összesített száma:</t>
  </si>
  <si>
    <t>Teljes terület (km²)
Medián értéke 1 szigorú /0 enyhe</t>
  </si>
  <si>
    <t>Tiltott légterek (km²)
Medián értéke 1 szigorú /0 enyhe</t>
  </si>
  <si>
    <t>Korlátozott légterek (km²)
Medián értéke 1 szigorú /0 enyhe</t>
  </si>
  <si>
    <t>Katonai zónák (km²)
Medián értéke 1 szigorú /0 enyhe</t>
  </si>
  <si>
    <t>Repülőtér zónák (km²)
Medián értéke 1 szigorú /0 enyhe</t>
  </si>
  <si>
    <t>Természetvédelmi területek (km²)
Medián értéke 1 szigorú /0 enyhe</t>
  </si>
  <si>
    <t>Szabad terület (km²)
Medián értéke 1 szigorú /0 enyhe</t>
  </si>
  <si>
    <t>Szabad terület aránya (%)
Medián értéke 1 szigorú /0 enyhe</t>
  </si>
  <si>
    <t>Regisztrált üzemeltetők 
Medián értéke 1 szigorú /0 enyhe</t>
  </si>
  <si>
    <t>Operatív engedélyek
Medián értéke 1 szigorú /0 enyhe</t>
  </si>
  <si>
    <t>A1/A3 tanúsítványok
Medián értéke 1 szigorú /0 enyhe</t>
  </si>
  <si>
    <t>A1/A3 tanusítvány arány (%)
Medián értéke 1 szigorú /0 enyhe</t>
  </si>
  <si>
    <t>A2 tanúsítványok
Medián értéke 1 szigorú /0 enyhe</t>
  </si>
  <si>
    <t>A2 tanusítvány arány (%)
Medián értéke 1 szigorú /0 enyhe</t>
  </si>
  <si>
    <t>Tanusítvány/Üzemeltető arány
Medián értéke 1 szigorú /0 enyhe</t>
  </si>
  <si>
    <t xml:space="preserve">Operatív engedély /Üzemeltető arány (%) 
Medián értéke 1 szigorú /0 enyhe </t>
  </si>
  <si>
    <t>A2 tanusítvány / A1-A3 tanusítvány arány (%)
Medián értéke 1 szigorú /0 enyhe</t>
  </si>
  <si>
    <t>Szabad terület / A1-A3 pilóta (km2/pilóta)
Medián értéke 1 szigorú /0 enyhe</t>
  </si>
  <si>
    <t>Korrelációs alapú
elemzési irány</t>
  </si>
  <si>
    <t>Medián alapú 
elemzési irány</t>
  </si>
  <si>
    <t>A nagyobb terület több potenciális repülési helyet jelent, ezért a növekedés pozitív irányként értelmezhető.</t>
  </si>
  <si>
    <t>Több tiltott légtér a szabályozottság jele lehet, nem feltétlen negatív; ezért a növekedést pozitív irányként kezeli a medián alapú irány.</t>
  </si>
  <si>
    <t>A korlátozás lehet kezelhető és időszakos, ezért a növekedést nem feltétlen rossz, így pozitívként értelmezzük.</t>
  </si>
  <si>
    <t>Több repülőtér lehet több lehetőség is – növekedés pozitív irány.</t>
  </si>
  <si>
    <t>Egyértelműen: minél több a szabad terület, annál jobb – növekedés pozitív irány</t>
  </si>
  <si>
    <t xml:space="preserve"> Ha a teljes területhez viszonyítva nő a szabad rész aránya, az kedvező – ezért a növekedés pozitív irány.</t>
  </si>
  <si>
    <t>Több engedély = több hivatalos működés, ebből következhet, hogy a növekedés a pozitív irány.</t>
  </si>
  <si>
    <t>Ha az arány túl magas , akkor lehet, hogy egyoldalú a képzés , amiből az következik, hogy  kisebb arány lehet kedvezőbb irány.</t>
  </si>
  <si>
    <t>Több A2-es tanúsítvány, miatt jobb képzettség, több repülési lehetőség, így a  növekedés pozitív.</t>
  </si>
  <si>
    <t>Ha túl kevés embernél van az összes engedély, az  sem jó, így a kisebb arány a jobb.</t>
  </si>
  <si>
    <t>Ha az A2 arány túl magas, az is aránytalanság, így ennek a  kisebb értéke a kedvező.</t>
  </si>
  <si>
    <t>Minél több szabad terület jut egy pilótára, annál kevésbé zsúfolt a légtér – tehát növekedés pozitív irány.</t>
  </si>
  <si>
    <t>Országok médián értékének összesítése</t>
  </si>
  <si>
    <t>Szabad terület / Teljes terület (%)</t>
  </si>
  <si>
    <t>Tiltott + korlátorzott terület / Teljes terület (%)</t>
  </si>
  <si>
    <t>Szabad terület / A1-A3 pilóta (km2)/pilota)</t>
  </si>
  <si>
    <t>A1-A3 tanúsítvány / Üzemeltető(%)</t>
  </si>
  <si>
    <t>A2/A1-A3 tanusítvány (%)</t>
  </si>
  <si>
    <t>Operatív engedély / Üzemeltető (%)</t>
  </si>
  <si>
    <t>Segéd tábla , a korlátozottsági 
mutatók és összehasonlító referenciaértékek kapcsán.</t>
  </si>
  <si>
    <r>
      <t xml:space="preserve">Ha  &lt;  középérték, akkor  </t>
    </r>
    <r>
      <rPr>
        <b/>
        <sz val="11"/>
        <color theme="1"/>
        <rFont val="Calibri"/>
        <family val="2"/>
        <charset val="238"/>
        <scheme val="minor"/>
      </rPr>
      <t>1 (szigorú)</t>
    </r>
  </si>
  <si>
    <t>Ha  &gt;  középérték , akkor  1 (szigorú)</t>
  </si>
  <si>
    <r>
      <t xml:space="preserve">Ha  &gt;  középérték,  </t>
    </r>
    <r>
      <rPr>
        <b/>
        <sz val="11"/>
        <color theme="1"/>
        <rFont val="Calibri"/>
        <family val="2"/>
        <charset val="238"/>
        <scheme val="minor"/>
      </rPr>
      <t>1 (szigorú)</t>
    </r>
  </si>
  <si>
    <r>
      <t xml:space="preserve">Ha  &lt;  középérték , akkor </t>
    </r>
    <r>
      <rPr>
        <b/>
        <sz val="11"/>
        <color theme="1"/>
        <rFont val="Calibri"/>
        <family val="2"/>
        <charset val="238"/>
        <scheme val="minor"/>
      </rPr>
      <t>1 (szigorú)</t>
    </r>
  </si>
  <si>
    <r>
      <t xml:space="preserve">Ha  &gt;  középérték, akkor  </t>
    </r>
    <r>
      <rPr>
        <b/>
        <sz val="11"/>
        <color theme="1"/>
        <rFont val="Calibri"/>
        <family val="2"/>
        <charset val="238"/>
        <scheme val="minor"/>
      </rPr>
      <t>1 (szigorú)</t>
    </r>
  </si>
  <si>
    <t>Értelmezési logika (irány) kritérium</t>
  </si>
  <si>
    <t>Összegző iránykód (pontozás):</t>
  </si>
  <si>
    <t>Középérték példa</t>
  </si>
  <si>
    <t>Súlyozott szám (feltéterlezett súlyozás)</t>
  </si>
  <si>
    <t>arányos érték</t>
  </si>
  <si>
    <t>Legszígorubb korlátozás, így a 
legnagyobb hangsúlyt kaptak</t>
  </si>
  <si>
    <t>Kevésbé szigorúak, de engedélyköteles</t>
  </si>
  <si>
    <t>fontos, de kisebb hatású</t>
  </si>
  <si>
    <t>szűkebb körű, de figyelembe 
veendő korlátozás</t>
  </si>
  <si>
    <t>Fontos biztonsági területek, ahol
 automatikus repülési tilalom van a közelség 
miatt, ezért jelentős, de a tiltott 
légterekhez képest kevésbé szigorú korlátozást jelentenek.</t>
  </si>
  <si>
    <t>Súlyozott szám  összege:</t>
  </si>
  <si>
    <t xml:space="preserve">Súlyok összege 1,00 legyen, az összes 
tényező együtt adja ki 
a teljes képet, vagyis 100%-ot </t>
  </si>
  <si>
    <t xml:space="preserve"> A kutatás során az egyes országok drónszabályozásának szigorúságát mérem az irányszabályok és a hozzájuk kapcsolódó mutatók figyelembevételével. Minden mutatót egy adott ország irányszabályaihoz viszonyítok. A kutatásban korrelációs elemzést végzek a különböző mutatók között annak megállapítására, hogy milyen kapcsolat áll fenn azok között.
Például:
Minél nagyobb a tiltott légtérek területe, annál kevesebb az esetlegesen regisztrált üzemeltetők száma. A korrelációs elemzés segítségével vizsgálom, hogy a két mutató negatív kapcsolatban áll-e egymással (vagyis, hogy a tiltott légtér növekedése a regisztrált üzemeltetők számának csökkenését eredményezi-e).
A korrelációs együtthatók kiszámításához különböző mutatók és irányszabályok közötti kapcsolatokat elemzem, és ezek viszonya alapján vonok le következtetéseket.                     /Munkalap: korrelációs együtthatók/. Vizsgálom még több ellemzési értékek alapjánis , például medián érték, amely egy statisztikai középérték,  egy adathalmaz értékeit rendezetten, növekvő sorrendbe állítva a középen elhelyezkedő elemett jelenti. Valamint korlátozottsági index alapjá is, ahol egy megadott súlyozási ponthalmaz alapján osztályozom a mutatók súlyozott értékét, és az alapján heléyezem be a szigorúsággi szint szerint. /munkalap: Országok korlátozottsági indexe/</t>
  </si>
  <si>
    <t>Összefoglalás:</t>
  </si>
  <si>
    <t>A kutatás eredményei alapján megállapítható, hogy a magyar dróntörvény a környező országokhoz képest valóban szigorúnak tekinthető. A vizsgált mutatók – mint a tiltott és korlátozott légterek aránya, a katonai zónák elhelyezkedése, a regisztrációs kötelezettségek és az engedélykérés folyamata – alapján Magyarország több ponton korlátozóbb szabályozást alkalmaz.
A korrelációs elemzések azt mutatták, hogy nagyobb tiltott légtérrel rendelkező országokban általában kevesebb a regisztrált üzemeltető. A medián és korlátozottsági index alapján is Magyarország a szigorúbb szabályozású országok közé sorolható.
Ez arra utal, hogy hazánkban a drónhasználatot jelentősebb mértékben korlátozzák, mint például Szlovákiában vagy Ausztriában, így a jelenlegi szabályozás sok szempontból túlzónak tekinthető.</t>
  </si>
  <si>
    <t xml:space="preserve">Források: </t>
  </si>
  <si>
    <t>Hivatkozott jogszabály: https://net.jogtar.hu/jogszabaly?docid=a2100038.kor</t>
  </si>
  <si>
    <t>·         EASA (European Union Aviation Safety Agency) UAS Mapping Tool – drónrepülésre alkalmas zónák és légterek EASA – European Union Aviation Safety Agency</t>
  </si>
  <si>
    <t>https://www.easa.europa.eu/en/domains/civil-drones</t>
  </si>
  <si>
    <t>·         EASA drónregisztrációs és tanúsítási statisztikák – regisztrált üzemeltetők, A1/A3 és A2 tanúsítványok</t>
  </si>
  <si>
    <t>https://experience.arcgis.com/experience/1cad6eae759746c0a2cc8cb85f6db776</t>
  </si>
  <si>
    <t>·         Nemzeti légtérszabályozási hatóságok hivatalos adatai – országonként eltérő adatközlés</t>
  </si>
  <si>
    <t>Droniq (Németország)</t>
  </si>
  <si>
    <t>https://map.droniq.de/</t>
  </si>
  <si>
    <t>Austro Control (Ausztria)</t>
  </si>
  <si>
    <t>https://www.dronespace.at</t>
  </si>
  <si>
    <t>·         Geoportal Romania (Románia)</t>
  </si>
  <si>
    <t>https://www.caa.ro</t>
  </si>
  <si>
    <t xml:space="preserve">Hungarocontrol (Magyarország) – magyar zónatérkép </t>
  </si>
  <si>
    <t>https://terkep.droneinfo.hu</t>
  </si>
  <si>
    <t>·         Wikipedia – Országok területe (km²) https://en.wikipedia.org/wiki/List_of_countries_and_dependencies_by_area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</si>
  <si>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Calibri"/>
        <family val="2"/>
        <charset val="238"/>
      </rPr>
      <t>Drónüzemeletető és drónpilóta EASA szabályozás és információs oldal</t>
    </r>
  </si>
  <si>
    <t>https://www.easa.europa.eu/hu/light/topics/drone-operators-pilots</t>
  </si>
  <si>
    <r>
      <t>·</t>
    </r>
    <r>
      <rPr>
        <sz val="7"/>
        <color theme="1"/>
        <rFont val="Times New Roman"/>
        <family val="1"/>
        <charset val="238"/>
      </rPr>
      <t xml:space="preserve">           </t>
    </r>
    <r>
      <rPr>
        <sz val="11"/>
        <color theme="1"/>
        <rFont val="Cambria"/>
        <family val="1"/>
        <charset val="238"/>
      </rPr>
      <t>Minden ami a drónozással kapcsolatos Magyar információs oldal</t>
    </r>
  </si>
  <si>
    <t>irányszabály</t>
  </si>
  <si>
    <t>Y0</t>
  </si>
  <si>
    <t>idealitáspontszám</t>
  </si>
  <si>
    <t>sorszám</t>
  </si>
  <si>
    <t>Minél nagyobb az ország teljes területe, ANNÁL RESTRIKTÍVEBB A SZABÁLYOZÁS AZ ADOTT ORSZÁGBAN</t>
  </si>
  <si>
    <r>
      <t xml:space="preserve">Minél nagyobb a tiltott légterek értéke, </t>
    </r>
    <r>
      <rPr>
        <sz val="11"/>
        <rFont val="Calibri"/>
        <family val="2"/>
        <charset val="238"/>
        <scheme val="minor"/>
      </rPr>
      <t>ANNÁL RESTRIKTÍVEBB A SZABÁLYOZÁS AZ ADOTT ORSZÁGBAN</t>
    </r>
  </si>
  <si>
    <t>Minél nagyobb  a korlátozott légterek összterülete,ANNÁL RESTRIKTÍVEBB A SZABÁLYOZÁS AZ ADOTT ORSZÁGBAN</t>
  </si>
  <si>
    <t>Minél nagyobb  a katonai célú légtérhasználat által korlátozott terület, ANNÁL RESTRIKTÍVEBB A SZABÁLYOZÁS AZ ADOTT ORSZÁGBAN</t>
  </si>
  <si>
    <t>Minél nagyobb  a repülőtér körüli korlátozások, ANNÁL RESTRIKTÍVEBB A SZABÁLYOZÁS AZ ADOTT ORSZÁGBAN</t>
  </si>
  <si>
    <t>Minél nagyobb a természetvédelmi területek,ANNÁL RESTRIKTÍVEBB A SZABÁLYOZÁS AZ ADOTT ORSZÁGBAN</t>
  </si>
  <si>
    <t>Minél kisebb a szabad területek értéke, ANNÁL RESTRIKTÍVEBB A SZABÁLYOZÁS AZ ADOTT ORSZÁGBAN</t>
  </si>
  <si>
    <t>Minél kisebb a teljes területhez képest a szabad légtér aránya, ANNÁL RESTRIKTÍVEBB A SZABÁLYOZÁS AZ ADOTT ORSZÁGBAN</t>
  </si>
  <si>
    <t>Minél több a regisztrált üzemeltető, ANNÁL RESTRIKTÍVEBB A SZABÁLYOZÁS AZ ADOTT ORSZÁGBAN</t>
  </si>
  <si>
    <t>Minél több operatív szigorúbb , engedély  szükséges,ANNÁL RESTRIKTÍVEBB A SZABÁLYOZÁS AZ ADOTT ORSZÁGBAN</t>
  </si>
  <si>
    <t>Minél több alapjogosítást kell szereznie a pilótáknak, ANNÁL RESTRIKTÍVEBB A SZABÁLYOZÁS AZ ADOTT ORSZÁGBAN</t>
  </si>
  <si>
    <t>Minél nagyobb az A1/A3 tanusítványok arány a, ANNÁL RESTRIKTÍVEBB A SZABÁLYOZÁS AZ ADOTT ORSZÁGBAN</t>
  </si>
  <si>
    <t>Minél több a haladó színtű tanusítvány ,  ANNÁL RESTRIKTÍVEBB A SZABÁLYOZÁS AZ ADOTT ORSZÁGBAN</t>
  </si>
  <si>
    <t>Minél nagyobb a szükségessége az A2 tanusítványnak, ANNÁL RESTRIKTÍVEBB A SZABÁLYOZÁS AZ ADOTT ORSZÁGBAN</t>
  </si>
  <si>
    <t>Minél több tanusítvány jut egy üzemeltetőre, ANNÁL RESTRIKTÍVEBB A SZABÁLYOZÁS AZ ADOTT ORSZÁGBAN</t>
  </si>
  <si>
    <t>Minél több üzemeltető igényel szigorúbb engedélyt,ANNÁL RESTRIKTÍVEBB A SZABÁLYOZÁS AZ ADOTT ORSZÁGBAN</t>
  </si>
  <si>
    <t>Minél nagyobb az A2 aránya az összes tanusítványhoz képest,ANNÁL RESTRIKTÍVEBB A SZABÁLYOZÁS AZ ADOTT ORSZÁGBAN</t>
  </si>
  <si>
    <t>Minél kisebb a pilótánként elérhető szabad légtér, ANNÁL RESTRIKTÍVEBB A SZABÁLYOZÁS AZ ADOTT ORSZÁGBAN</t>
  </si>
  <si>
    <t>iránykód (1 szigorubb/0 enyhébb)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</si>
</sst>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8696B"/>
        <bgColor indexed="64"/>
      </patternFill>
    </fill>
    <fill>
      <patternFill patternType="solid">
        <fgColor rgb="FFFFEB8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5ABE7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9">
    <xf numFmtId="0" fontId="0" fillId="0" borderId="0" xfId="0"/>
    <xf numFmtId="0" fontId="1" fillId="3" borderId="3" xfId="0" applyFont="1" applyFill="1" applyBorder="1"/>
    <xf numFmtId="0" fontId="1" fillId="3" borderId="4" xfId="0" applyFont="1" applyFill="1" applyBorder="1"/>
    <xf numFmtId="0" fontId="1" fillId="3" borderId="2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0" fillId="0" borderId="0" xfId="0" applyAlignment="1">
      <alignment horizontal="center"/>
    </xf>
    <xf numFmtId="0" fontId="1" fillId="3" borderId="21" xfId="0" applyFont="1" applyFill="1" applyBorder="1"/>
    <xf numFmtId="0" fontId="1" fillId="3" borderId="5" xfId="0" applyFont="1" applyFill="1" applyBorder="1" applyAlignment="1">
      <alignment horizontal="center" vertical="center"/>
    </xf>
    <xf numFmtId="0" fontId="0" fillId="7" borderId="6" xfId="0" applyFill="1" applyBorder="1" applyAlignment="1">
      <alignment horizontal="left" vertical="center"/>
    </xf>
    <xf numFmtId="0" fontId="1" fillId="3" borderId="7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/>
    </xf>
    <xf numFmtId="0" fontId="0" fillId="5" borderId="9" xfId="0" applyFill="1" applyBorder="1"/>
    <xf numFmtId="0" fontId="1" fillId="3" borderId="10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0" fillId="4" borderId="6" xfId="0" applyFill="1" applyBorder="1"/>
    <xf numFmtId="0" fontId="1" fillId="3" borderId="23" xfId="0" applyFont="1" applyFill="1" applyBorder="1"/>
    <xf numFmtId="0" fontId="1" fillId="3" borderId="24" xfId="0" applyFont="1" applyFill="1" applyBorder="1"/>
    <xf numFmtId="0" fontId="1" fillId="3" borderId="25" xfId="0" applyFont="1" applyFill="1" applyBorder="1"/>
    <xf numFmtId="0" fontId="0" fillId="3" borderId="16" xfId="0" applyFill="1" applyBorder="1"/>
    <xf numFmtId="0" fontId="0" fillId="3" borderId="26" xfId="0" applyFill="1" applyBorder="1"/>
    <xf numFmtId="0" fontId="0" fillId="3" borderId="29" xfId="0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0" fontId="0" fillId="3" borderId="31" xfId="0" applyFill="1" applyBorder="1"/>
    <xf numFmtId="0" fontId="0" fillId="3" borderId="32" xfId="0" applyFill="1" applyBorder="1" applyAlignment="1">
      <alignment vertical="center" wrapText="1"/>
    </xf>
    <xf numFmtId="0" fontId="0" fillId="3" borderId="33" xfId="0" applyFill="1" applyBorder="1"/>
    <xf numFmtId="0" fontId="0" fillId="3" borderId="34" xfId="0" applyFill="1" applyBorder="1"/>
    <xf numFmtId="0" fontId="0" fillId="3" borderId="35" xfId="0" applyFill="1" applyBorder="1" applyAlignment="1">
      <alignment horizontal="left" vertical="center" wrapText="1"/>
    </xf>
    <xf numFmtId="0" fontId="0" fillId="3" borderId="20" xfId="0" applyFill="1" applyBorder="1" applyAlignment="1">
      <alignment horizontal="left" vertical="center" wrapText="1"/>
    </xf>
    <xf numFmtId="0" fontId="0" fillId="3" borderId="36" xfId="0" applyFill="1" applyBorder="1" applyAlignment="1">
      <alignment horizontal="left" vertical="center" wrapText="1"/>
    </xf>
    <xf numFmtId="0" fontId="0" fillId="3" borderId="35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23" xfId="0" applyFont="1" applyFill="1" applyBorder="1"/>
    <xf numFmtId="0" fontId="3" fillId="2" borderId="24" xfId="0" applyFont="1" applyFill="1" applyBorder="1"/>
    <xf numFmtId="0" fontId="3" fillId="2" borderId="25" xfId="0" applyFont="1" applyFill="1" applyBorder="1"/>
    <xf numFmtId="0" fontId="1" fillId="3" borderId="38" xfId="0" applyFont="1" applyFill="1" applyBorder="1"/>
    <xf numFmtId="0" fontId="1" fillId="3" borderId="30" xfId="0" applyFont="1" applyFill="1" applyBorder="1"/>
    <xf numFmtId="0" fontId="1" fillId="3" borderId="35" xfId="0" applyFont="1" applyFill="1" applyBorder="1" applyAlignment="1">
      <alignment horizontal="left"/>
    </xf>
    <xf numFmtId="0" fontId="1" fillId="3" borderId="20" xfId="0" applyFont="1" applyFill="1" applyBorder="1" applyAlignment="1">
      <alignment horizontal="left"/>
    </xf>
    <xf numFmtId="0" fontId="1" fillId="3" borderId="36" xfId="0" applyFont="1" applyFill="1" applyBorder="1" applyAlignment="1">
      <alignment horizontal="left"/>
    </xf>
    <xf numFmtId="0" fontId="3" fillId="2" borderId="17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0" fontId="0" fillId="3" borderId="40" xfId="0" applyFill="1" applyBorder="1" applyAlignment="1">
      <alignment horizontal="center"/>
    </xf>
    <xf numFmtId="2" fontId="0" fillId="3" borderId="28" xfId="0" applyNumberFormat="1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29" xfId="0" applyFill="1" applyBorder="1" applyAlignment="1">
      <alignment horizontal="left" wrapText="1"/>
    </xf>
    <xf numFmtId="0" fontId="0" fillId="3" borderId="37" xfId="0" applyFill="1" applyBorder="1" applyAlignment="1">
      <alignment horizontal="center"/>
    </xf>
    <xf numFmtId="2" fontId="0" fillId="3" borderId="16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2" xfId="0" applyFill="1" applyBorder="1" applyAlignment="1">
      <alignment horizontal="left" wrapText="1"/>
    </xf>
    <xf numFmtId="0" fontId="0" fillId="3" borderId="22" xfId="0" applyFill="1" applyBorder="1" applyAlignment="1">
      <alignment horizontal="left" vertical="center" wrapText="1"/>
    </xf>
    <xf numFmtId="0" fontId="0" fillId="3" borderId="22" xfId="0" applyFill="1" applyBorder="1" applyAlignment="1">
      <alignment horizontal="left"/>
    </xf>
    <xf numFmtId="0" fontId="0" fillId="3" borderId="41" xfId="0" applyFill="1" applyBorder="1" applyAlignment="1">
      <alignment horizontal="center"/>
    </xf>
    <xf numFmtId="2" fontId="0" fillId="3" borderId="31" xfId="0" applyNumberFormat="1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32" xfId="0" applyFill="1" applyBorder="1" applyAlignment="1">
      <alignment horizontal="left" vertical="center" wrapText="1"/>
    </xf>
    <xf numFmtId="1" fontId="0" fillId="3" borderId="35" xfId="0" applyNumberForma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vertical="center" wrapText="1"/>
    </xf>
    <xf numFmtId="0" fontId="1" fillId="3" borderId="16" xfId="0" applyFont="1" applyFill="1" applyBorder="1" applyAlignment="1">
      <alignment horizontal="left"/>
    </xf>
    <xf numFmtId="0" fontId="3" fillId="2" borderId="27" xfId="0" applyFont="1" applyFill="1" applyBorder="1"/>
    <xf numFmtId="0" fontId="3" fillId="2" borderId="28" xfId="0" applyFont="1" applyFill="1" applyBorder="1"/>
    <xf numFmtId="0" fontId="3" fillId="2" borderId="29" xfId="0" applyFont="1" applyFill="1" applyBorder="1"/>
    <xf numFmtId="0" fontId="1" fillId="3" borderId="21" xfId="0" applyFont="1" applyFill="1" applyBorder="1" applyAlignment="1">
      <alignment horizontal="left"/>
    </xf>
    <xf numFmtId="0" fontId="1" fillId="3" borderId="30" xfId="0" applyFont="1" applyFill="1" applyBorder="1" applyAlignment="1">
      <alignment horizontal="left"/>
    </xf>
    <xf numFmtId="0" fontId="0" fillId="3" borderId="22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left"/>
    </xf>
    <xf numFmtId="0" fontId="1" fillId="3" borderId="31" xfId="0" applyFont="1" applyFill="1" applyBorder="1" applyAlignment="1">
      <alignment horizontal="left"/>
    </xf>
    <xf numFmtId="0" fontId="1" fillId="3" borderId="26" xfId="0" applyFont="1" applyFill="1" applyBorder="1" applyAlignment="1">
      <alignment horizontal="left"/>
    </xf>
    <xf numFmtId="2" fontId="1" fillId="3" borderId="26" xfId="0" applyNumberFormat="1" applyFont="1" applyFill="1" applyBorder="1" applyAlignment="1">
      <alignment horizontal="left"/>
    </xf>
    <xf numFmtId="0" fontId="1" fillId="3" borderId="27" xfId="0" applyFont="1" applyFill="1" applyBorder="1" applyAlignment="1">
      <alignment horizontal="left"/>
    </xf>
    <xf numFmtId="0" fontId="1" fillId="3" borderId="28" xfId="0" applyFont="1" applyFill="1" applyBorder="1" applyAlignment="1">
      <alignment horizontal="left"/>
    </xf>
    <xf numFmtId="2" fontId="1" fillId="3" borderId="28" xfId="0" applyNumberFormat="1" applyFont="1" applyFill="1" applyBorder="1" applyAlignment="1">
      <alignment horizontal="left"/>
    </xf>
    <xf numFmtId="0" fontId="1" fillId="6" borderId="6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0" fillId="6" borderId="6" xfId="0" applyFill="1" applyBorder="1"/>
    <xf numFmtId="0" fontId="1" fillId="6" borderId="5" xfId="0" applyFont="1" applyFill="1" applyBorder="1" applyAlignment="1">
      <alignment wrapText="1"/>
    </xf>
    <xf numFmtId="0" fontId="1" fillId="6" borderId="13" xfId="0" applyFont="1" applyFill="1" applyBorder="1" applyAlignment="1">
      <alignment wrapText="1"/>
    </xf>
    <xf numFmtId="0" fontId="1" fillId="6" borderId="14" xfId="0" applyFont="1" applyFill="1" applyBorder="1" applyAlignment="1">
      <alignment horizontal="left"/>
    </xf>
    <xf numFmtId="0" fontId="1" fillId="6" borderId="15" xfId="0" applyFont="1" applyFill="1" applyBorder="1" applyAlignment="1">
      <alignment horizontal="left"/>
    </xf>
    <xf numFmtId="0" fontId="0" fillId="6" borderId="14" xfId="0" applyFill="1" applyBorder="1"/>
    <xf numFmtId="0" fontId="3" fillId="2" borderId="2" xfId="0" applyFont="1" applyFill="1" applyBorder="1" applyAlignment="1">
      <alignment horizontal="left"/>
    </xf>
    <xf numFmtId="0" fontId="1" fillId="2" borderId="27" xfId="0" applyFont="1" applyFill="1" applyBorder="1" applyAlignment="1">
      <alignment vertical="center" wrapText="1"/>
    </xf>
    <xf numFmtId="0" fontId="1" fillId="2" borderId="28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1" fillId="3" borderId="38" xfId="0" applyFont="1" applyFill="1" applyBorder="1" applyAlignment="1">
      <alignment horizontal="left"/>
    </xf>
    <xf numFmtId="0" fontId="0" fillId="3" borderId="39" xfId="0" applyFill="1" applyBorder="1" applyAlignment="1">
      <alignment vertical="center" wrapText="1"/>
    </xf>
    <xf numFmtId="0" fontId="3" fillId="2" borderId="23" xfId="0" applyFont="1" applyFill="1" applyBorder="1" applyAlignment="1">
      <alignment horizontal="center" vertical="top"/>
    </xf>
    <xf numFmtId="0" fontId="3" fillId="2" borderId="24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0" fillId="3" borderId="42" xfId="0" applyFill="1" applyBorder="1"/>
    <xf numFmtId="0" fontId="1" fillId="6" borderId="39" xfId="0" applyFont="1" applyFill="1" applyBorder="1"/>
    <xf numFmtId="0" fontId="0" fillId="8" borderId="16" xfId="0" applyFill="1" applyBorder="1"/>
    <xf numFmtId="0" fontId="0" fillId="8" borderId="22" xfId="0" applyFill="1" applyBorder="1"/>
    <xf numFmtId="0" fontId="0" fillId="8" borderId="31" xfId="0" applyFill="1" applyBorder="1"/>
    <xf numFmtId="0" fontId="0" fillId="8" borderId="32" xfId="0" applyFill="1" applyBorder="1"/>
    <xf numFmtId="0" fontId="0" fillId="8" borderId="26" xfId="0" applyFill="1" applyBorder="1"/>
    <xf numFmtId="0" fontId="0" fillId="8" borderId="39" xfId="0" applyFill="1" applyBorder="1"/>
    <xf numFmtId="0" fontId="0" fillId="8" borderId="43" xfId="0" applyFill="1" applyBorder="1"/>
    <xf numFmtId="0" fontId="0" fillId="8" borderId="37" xfId="0" applyFill="1" applyBorder="1"/>
    <xf numFmtId="0" fontId="0" fillId="8" borderId="37" xfId="0" applyFill="1" applyBorder="1" applyAlignment="1">
      <alignment vertical="center" wrapText="1"/>
    </xf>
    <xf numFmtId="0" fontId="0" fillId="8" borderId="41" xfId="0" applyFill="1" applyBorder="1"/>
    <xf numFmtId="0" fontId="0" fillId="8" borderId="35" xfId="0" applyFill="1" applyBorder="1"/>
    <xf numFmtId="0" fontId="0" fillId="8" borderId="20" xfId="0" applyFill="1" applyBorder="1"/>
    <xf numFmtId="0" fontId="0" fillId="8" borderId="36" xfId="0" applyFill="1" applyBorder="1"/>
    <xf numFmtId="0" fontId="1" fillId="10" borderId="5" xfId="0" applyFont="1" applyFill="1" applyBorder="1"/>
    <xf numFmtId="0" fontId="2" fillId="10" borderId="6" xfId="0" applyFont="1" applyFill="1" applyBorder="1"/>
    <xf numFmtId="0" fontId="2" fillId="10" borderId="7" xfId="0" applyFont="1" applyFill="1" applyBorder="1"/>
    <xf numFmtId="0" fontId="0" fillId="9" borderId="22" xfId="0" applyFill="1" applyBorder="1" applyAlignment="1">
      <alignment wrapText="1"/>
    </xf>
    <xf numFmtId="0" fontId="0" fillId="9" borderId="22" xfId="0" applyFill="1" applyBorder="1"/>
    <xf numFmtId="0" fontId="0" fillId="9" borderId="46" xfId="0" applyFill="1" applyBorder="1" applyAlignment="1">
      <alignment wrapText="1"/>
    </xf>
    <xf numFmtId="0" fontId="0" fillId="6" borderId="32" xfId="0" applyFill="1" applyBorder="1" applyAlignment="1">
      <alignment wrapText="1"/>
    </xf>
    <xf numFmtId="0" fontId="1" fillId="3" borderId="21" xfId="0" applyFont="1" applyFill="1" applyBorder="1" applyAlignment="1">
      <alignment vertical="center"/>
    </xf>
    <xf numFmtId="0" fontId="1" fillId="3" borderId="44" xfId="0" applyFont="1" applyFill="1" applyBorder="1" applyAlignment="1">
      <alignment vertical="center"/>
    </xf>
    <xf numFmtId="0" fontId="1" fillId="6" borderId="30" xfId="0" applyFont="1" applyFill="1" applyBorder="1" applyAlignment="1">
      <alignment vertical="center"/>
    </xf>
    <xf numFmtId="0" fontId="1" fillId="9" borderId="16" xfId="0" applyFont="1" applyFill="1" applyBorder="1" applyAlignment="1">
      <alignment horizontal="center" vertical="center"/>
    </xf>
    <xf numFmtId="2" fontId="1" fillId="9" borderId="16" xfId="0" applyNumberFormat="1" applyFont="1" applyFill="1" applyBorder="1" applyAlignment="1">
      <alignment horizontal="center" vertical="center"/>
    </xf>
    <xf numFmtId="2" fontId="1" fillId="9" borderId="45" xfId="0" applyNumberFormat="1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 vertical="center"/>
    </xf>
    <xf numFmtId="0" fontId="0" fillId="3" borderId="47" xfId="0" applyFill="1" applyBorder="1" applyAlignment="1">
      <alignment vertical="center" wrapText="1"/>
    </xf>
    <xf numFmtId="0" fontId="1" fillId="3" borderId="35" xfId="0" applyFont="1" applyFill="1" applyBorder="1" applyAlignment="1">
      <alignment vertical="center" wrapText="1"/>
    </xf>
    <xf numFmtId="0" fontId="1" fillId="3" borderId="20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3" borderId="49" xfId="0" applyFill="1" applyBorder="1"/>
    <xf numFmtId="0" fontId="5" fillId="3" borderId="47" xfId="0" applyFont="1" applyFill="1" applyBorder="1" applyAlignment="1">
      <alignment horizontal="left" vertical="center"/>
    </xf>
    <xf numFmtId="0" fontId="6" fillId="3" borderId="47" xfId="1" applyFill="1" applyBorder="1" applyAlignment="1">
      <alignment horizontal="left"/>
    </xf>
    <xf numFmtId="0" fontId="0" fillId="3" borderId="47" xfId="0" applyFill="1" applyBorder="1" applyAlignment="1">
      <alignment horizontal="left"/>
    </xf>
    <xf numFmtId="0" fontId="6" fillId="3" borderId="47" xfId="1" applyFill="1" applyBorder="1" applyAlignment="1">
      <alignment horizontal="left" vertical="center"/>
    </xf>
    <xf numFmtId="0" fontId="7" fillId="3" borderId="47" xfId="0" applyFont="1" applyFill="1" applyBorder="1" applyAlignment="1">
      <alignment horizontal="left" vertical="center"/>
    </xf>
    <xf numFmtId="0" fontId="8" fillId="3" borderId="47" xfId="0" applyFont="1" applyFill="1" applyBorder="1" applyAlignment="1">
      <alignment horizontal="left" vertical="center"/>
    </xf>
    <xf numFmtId="0" fontId="6" fillId="3" borderId="50" xfId="1" applyFill="1" applyBorder="1" applyAlignment="1">
      <alignment horizontal="left"/>
    </xf>
    <xf numFmtId="2" fontId="0" fillId="0" borderId="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2" fontId="0" fillId="0" borderId="0" xfId="0" applyNumberFormat="1"/>
    <xf numFmtId="2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0" fontId="0" fillId="11" borderId="0" xfId="0" applyFill="1"/>
    <xf numFmtId="0" fontId="0" fillId="11" borderId="0" xfId="0" applyFill="1" applyAlignment="1">
      <alignment wrapText="1"/>
    </xf>
    <xf numFmtId="0" fontId="11" fillId="0" borderId="0" xfId="0" applyFont="1"/>
    <xf numFmtId="0" fontId="0" fillId="11" borderId="0" xfId="0" applyFill="1" applyAlignment="1">
      <alignment horizontal="left" wrapText="1"/>
    </xf>
    <xf numFmtId="164" fontId="0" fillId="8" borderId="43" xfId="0" applyNumberFormat="1" applyFill="1" applyBorder="1"/>
    <xf numFmtId="164" fontId="0" fillId="8" borderId="26" xfId="0" applyNumberFormat="1" applyFill="1" applyBorder="1"/>
    <xf numFmtId="164" fontId="0" fillId="8" borderId="39" xfId="0" applyNumberFormat="1" applyFill="1" applyBorder="1"/>
    <xf numFmtId="164" fontId="0" fillId="8" borderId="37" xfId="0" applyNumberFormat="1" applyFill="1" applyBorder="1"/>
    <xf numFmtId="164" fontId="0" fillId="8" borderId="16" xfId="0" applyNumberFormat="1" applyFill="1" applyBorder="1"/>
    <xf numFmtId="164" fontId="0" fillId="8" borderId="22" xfId="0" applyNumberFormat="1" applyFill="1" applyBorder="1"/>
    <xf numFmtId="164" fontId="0" fillId="8" borderId="41" xfId="0" applyNumberFormat="1" applyFill="1" applyBorder="1"/>
    <xf numFmtId="164" fontId="0" fillId="8" borderId="31" xfId="0" applyNumberFormat="1" applyFill="1" applyBorder="1"/>
    <xf numFmtId="164" fontId="0" fillId="8" borderId="32" xfId="0" applyNumberFormat="1" applyFill="1" applyBorder="1"/>
    <xf numFmtId="1" fontId="0" fillId="8" borderId="26" xfId="0" applyNumberFormat="1" applyFill="1" applyBorder="1"/>
    <xf numFmtId="1" fontId="0" fillId="8" borderId="16" xfId="0" applyNumberFormat="1" applyFill="1" applyBorder="1"/>
    <xf numFmtId="1" fontId="0" fillId="8" borderId="31" xfId="0" applyNumberFormat="1" applyFill="1" applyBorder="1"/>
    <xf numFmtId="0" fontId="3" fillId="11" borderId="24" xfId="0" applyFont="1" applyFill="1" applyBorder="1"/>
    <xf numFmtId="0" fontId="0" fillId="3" borderId="47" xfId="0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mruColors>
      <color rgb="FF5ABE7B"/>
      <color rgb="FFFFEB84"/>
      <color rgb="FFF8696B"/>
      <color rgb="FFECFA6C"/>
      <color rgb="FFFF63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152399</xdr:colOff>
      <xdr:row>23</xdr:row>
      <xdr:rowOff>117231</xdr:rowOff>
    </xdr:from>
    <xdr:to>
      <xdr:col>15</xdr:col>
      <xdr:colOff>855784</xdr:colOff>
      <xdr:row>55</xdr:row>
      <xdr:rowOff>175846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7103968" y="6283569"/>
          <a:ext cx="8663354" cy="60608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600" b="1"/>
            <a:t>Értelmezés: Túl korlátózó-e a magyar dróntörvény?</a:t>
          </a:r>
        </a:p>
        <a:p>
          <a:endParaRPr lang="hu-HU" sz="1600" b="1"/>
        </a:p>
        <a:p>
          <a:r>
            <a:rPr lang="hu-HU" sz="1100" b="0"/>
            <a:t>A táblázat több szempont, mutató</a:t>
          </a:r>
          <a:r>
            <a:rPr lang="hu-HU" sz="1100" b="0" baseline="0"/>
            <a:t> alapján vizsgálja 6 ország drónhasználati szabályozását, különösen a légterek korlátozását, és a pilóták tanusítványainak követelményeit. Az egyes értékeket úgy értelmezzük, hogy minél nagyobb egy adott éték, annál szigorúbb a szabályozás . (Például tiltott , korltozott légterület nagysága, kötelező engedélyek stb.).</a:t>
          </a:r>
        </a:p>
        <a:p>
          <a:endParaRPr lang="hu-HU" sz="1400" b="1" baseline="0"/>
        </a:p>
        <a:p>
          <a:r>
            <a:rPr lang="hu-HU" sz="1600" b="1" baseline="0"/>
            <a:t>Magyarország helye a táblázat alapján:</a:t>
          </a:r>
        </a:p>
        <a:p>
          <a:endParaRPr lang="hu-HU" sz="1100" b="0" baseline="0"/>
        </a:p>
        <a:p>
          <a:r>
            <a:rPr lang="hu-HU" sz="1100" b="0" baseline="0"/>
            <a:t>	A tiltott , korlátozott és a repülőtéri zónák területe  viszonylag nagy,  így a légterek több mint a </a:t>
          </a:r>
          <a:r>
            <a:rPr lang="hu-HU" sz="1100" b="1" baseline="0"/>
            <a:t>70 %- </a:t>
          </a:r>
          <a:r>
            <a:rPr lang="hu-HU" sz="1100" b="0" baseline="0"/>
            <a:t>a nem teljesen szabad a 	drónrepülésre.</a:t>
          </a:r>
        </a:p>
        <a:p>
          <a:r>
            <a:rPr lang="hu-HU" sz="1100" b="0" baseline="0"/>
            <a:t>	A többi országhoz képes a szabad légterek aránya  mindössze </a:t>
          </a:r>
          <a:r>
            <a:rPr lang="hu-HU" sz="1100" b="1" baseline="0"/>
            <a:t>27% , </a:t>
          </a:r>
          <a:r>
            <a:rPr lang="hu-HU" sz="1100" b="0" baseline="0"/>
            <a:t>ami alacsonynak számít a többi  vizsgált országhoz képest.</a:t>
          </a:r>
        </a:p>
        <a:p>
          <a:r>
            <a:rPr lang="hu-HU" sz="1100" b="0" baseline="0"/>
            <a:t>	Az üzemeltetők és engedélyek aránya is magasabb ( például az operatív engedély/ üzemeltető arány </a:t>
          </a:r>
          <a:r>
            <a:rPr lang="hu-HU" sz="1100" b="1" baseline="0"/>
            <a:t>67%), </a:t>
          </a:r>
          <a:r>
            <a:rPr lang="hu-HU" sz="1100" b="0" baseline="0"/>
            <a:t>vagis a pilótáknak jelentős 	részének szigorúbb engedélyekkel kell  rendelkezniük.</a:t>
          </a:r>
        </a:p>
        <a:p>
          <a:r>
            <a:rPr lang="hu-HU" sz="1100" b="1" baseline="0"/>
            <a:t>	</a:t>
          </a:r>
          <a:r>
            <a:rPr lang="hu-HU" sz="1100" b="0" baseline="0"/>
            <a:t>Az A2 tanusítvány szükségessége viszonylag magas </a:t>
          </a:r>
          <a:r>
            <a:rPr lang="hu-HU" sz="1100" b="1" baseline="0"/>
            <a:t>26%, </a:t>
          </a:r>
          <a:r>
            <a:rPr lang="hu-HU" sz="1100" b="0" baseline="0"/>
            <a:t>ami további szigorítást jelent a haladó színtű pilóták számára.</a:t>
          </a:r>
        </a:p>
        <a:p>
          <a:r>
            <a:rPr lang="hu-HU" sz="1100" b="0" baseline="0"/>
            <a:t>	Az egy pilótára jutó szabad terület </a:t>
          </a:r>
          <a:r>
            <a:rPr lang="hu-HU" sz="1100" b="1" baseline="0"/>
            <a:t>9,7 km</a:t>
          </a:r>
          <a:r>
            <a:rPr lang="hu-HU" sz="1100" b="1" baseline="30000"/>
            <a:t>2</a:t>
          </a:r>
          <a:r>
            <a:rPr lang="hu-HU" sz="1100" b="0" baseline="0"/>
            <a:t>, ami  egy közepes érték, de a szigorúbb légterek miatt a tényleges repülési lehetőségek 	korlátozzotabbak.</a:t>
          </a:r>
        </a:p>
        <a:p>
          <a:r>
            <a:rPr lang="hu-HU" sz="1100" b="1" baseline="0"/>
            <a:t>	</a:t>
          </a:r>
        </a:p>
        <a:p>
          <a:endParaRPr lang="hu-HU" sz="1100" b="1" baseline="0"/>
        </a:p>
        <a:p>
          <a:r>
            <a:rPr lang="hu-HU" sz="1100" b="1" baseline="0"/>
            <a:t>Idealitás pontszám(Y0 érték):</a:t>
          </a:r>
        </a:p>
        <a:p>
          <a:endParaRPr lang="hu-HU" sz="1100" b="1" baseline="0"/>
        </a:p>
        <a:p>
          <a:r>
            <a:rPr lang="hu-HU" sz="1100" b="1" baseline="0"/>
            <a:t>	</a:t>
          </a:r>
          <a:r>
            <a:rPr lang="hu-HU" sz="1100" b="0" baseline="0"/>
            <a:t>A magyar szabályozás idealitás pontszáma a táblázat logikája alapján </a:t>
          </a:r>
          <a:r>
            <a:rPr lang="hu-HU" sz="1100" b="1" baseline="0"/>
            <a:t>65, </a:t>
          </a:r>
          <a:r>
            <a:rPr lang="hu-HU" sz="1100" b="0" baseline="0"/>
            <a:t>ami közepes szigorúságot mutat , nem a legszigorúbb, de 	nem is a legenedékenyebb.</a:t>
          </a:r>
          <a:br>
            <a:rPr lang="hu-HU" sz="1100" b="0" baseline="0"/>
          </a:br>
          <a:r>
            <a:rPr lang="hu-HU" sz="1100" b="0" baseline="0"/>
            <a:t>	Ez az érték egy </a:t>
          </a:r>
          <a:r>
            <a:rPr lang="hu-HU" sz="1100" b="1" baseline="0"/>
            <a:t>18 </a:t>
          </a:r>
          <a:r>
            <a:rPr lang="hu-HU" sz="1100" b="0" baseline="0"/>
            <a:t>szempontból álló összesített értékelés eredménye.</a:t>
          </a:r>
        </a:p>
        <a:p>
          <a:r>
            <a:rPr lang="hu-HU" sz="1100" b="0" baseline="0"/>
            <a:t>	</a:t>
          </a:r>
        </a:p>
        <a:p>
          <a:r>
            <a:rPr lang="hu-HU" sz="1100" b="0" baseline="0"/>
            <a:t>	Szigorúsági szint:</a:t>
          </a:r>
          <a:br>
            <a:rPr lang="hu-HU" sz="1100" b="0" baseline="0"/>
          </a:br>
          <a:r>
            <a:rPr lang="hu-HU" sz="1100" b="0" baseline="0"/>
            <a:t>	A pontszám alapján Magyarország a közepesen szigorú országok közé sorolható (pl. Szlovákia </a:t>
          </a:r>
          <a:r>
            <a:rPr lang="hu-HU" sz="1100" b="1" baseline="0"/>
            <a:t>41</a:t>
          </a:r>
          <a:r>
            <a:rPr lang="hu-HU" sz="1100" b="0" baseline="0"/>
            <a:t> ponttal jóval engedékenyebb, míg 	Németország </a:t>
          </a:r>
          <a:r>
            <a:rPr lang="hu-HU" sz="1100" b="1" baseline="0"/>
            <a:t>80</a:t>
          </a:r>
          <a:r>
            <a:rPr lang="hu-HU" sz="1100" b="0" baseline="0"/>
            <a:t> ponttal a legszigorúbbak közé tartozik).</a:t>
          </a:r>
        </a:p>
        <a:p>
          <a:endParaRPr lang="hu-HU" sz="1100" b="0" baseline="0"/>
        </a:p>
        <a:p>
          <a:r>
            <a:rPr lang="hu-HU" sz="1100" b="0" baseline="0"/>
            <a:t>A magyar dróntörvény közepesen szigorú, több korlátozást tartlamaz, mint néhány vizsgált ország, főként a nagy tiltott és korlátozott légterek miatt.</a:t>
          </a:r>
        </a:p>
        <a:p>
          <a:r>
            <a:rPr lang="hu-HU" sz="1100" b="0" baseline="0"/>
            <a:t>Ez biztosítja a légiközlekedés és természetvédelem magasabb színtű védelmét, ugyanakkor korlátozza a pilóták szabadabb repülési lehetőségeit.</a:t>
          </a:r>
        </a:p>
        <a:p>
          <a:r>
            <a:rPr lang="hu-HU" sz="1100" b="0" baseline="0"/>
            <a:t>Az engedélyek és tanusítványok követelmény rendszere is viszonylag magas, ami növeli a drónhasználat adminisztratív terheit.</a:t>
          </a:r>
        </a:p>
        <a:p>
          <a:endParaRPr lang="hu-HU" sz="1100" b="0" baseline="0"/>
        </a:p>
        <a:p>
          <a:r>
            <a:rPr lang="hu-HU" sz="1100" b="0" baseline="0"/>
            <a:t>Összességében  elmondható, hogy a magyar szabályozás inkább a biztonságot  és kontrolt helyezi előtérbe, mint a maximális repülési szabadságot.</a:t>
          </a:r>
        </a:p>
        <a:p>
          <a:endParaRPr lang="hu-HU" sz="1100" b="1" baseline="0"/>
        </a:p>
        <a:p>
          <a:endParaRPr lang="hu-HU" sz="1100" b="0" baseline="0"/>
        </a:p>
        <a:p>
          <a:endParaRPr lang="hu-HU" sz="1100" b="0" baseline="0"/>
        </a:p>
        <a:p>
          <a:endParaRPr lang="hu-HU" sz="1100" b="0" baseline="0"/>
        </a:p>
        <a:p>
          <a:endParaRPr lang="hu-HU" sz="1100" b="0" baseline="0"/>
        </a:p>
        <a:p>
          <a:r>
            <a:rPr lang="hu-HU" sz="1100" b="0" baseline="0"/>
            <a:t>,</a:t>
          </a:r>
          <a:endParaRPr lang="hu-H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21</xdr:row>
      <xdr:rowOff>114300</xdr:rowOff>
    </xdr:from>
    <xdr:to>
      <xdr:col>3</xdr:col>
      <xdr:colOff>228600</xdr:colOff>
      <xdr:row>29</xdr:row>
      <xdr:rowOff>142875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000375" y="4629150"/>
          <a:ext cx="5295900" cy="1552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600" b="1"/>
            <a:t>Összesített irány pontozás</a:t>
          </a:r>
          <a:r>
            <a:rPr lang="hu-HU" sz="1600" b="1" baseline="0"/>
            <a:t> értelmezése:</a:t>
          </a:r>
        </a:p>
        <a:p>
          <a:endParaRPr lang="hu-HU" sz="1100" baseline="0"/>
        </a:p>
        <a:p>
          <a:r>
            <a:rPr lang="hu-HU" sz="1100" b="1" baseline="0"/>
            <a:t>0 pont </a:t>
          </a:r>
          <a:r>
            <a:rPr lang="hu-HU" sz="1100" baseline="0"/>
            <a:t>= minden mutató alapján enyhébb, mint az átlag, ebből következhet, hogy  </a:t>
          </a:r>
        </a:p>
        <a:p>
          <a:r>
            <a:rPr lang="hu-HU" sz="1100" baseline="0"/>
            <a:t>	nagyon enyhe szabályozás lehetséges</a:t>
          </a:r>
        </a:p>
        <a:p>
          <a:r>
            <a:rPr lang="hu-HU" sz="1100" b="1" baseline="0"/>
            <a:t>6 pont </a:t>
          </a:r>
          <a:r>
            <a:rPr lang="hu-HU" sz="1100" baseline="0"/>
            <a:t>= minden mutató alapján szigorúbb, mint az átlag ebből</a:t>
          </a:r>
        </a:p>
        <a:p>
          <a:r>
            <a:rPr lang="hu-HU" sz="1100" baseline="0"/>
            <a:t>	nagyon szigorú szabályozás lehet</a:t>
          </a:r>
        </a:p>
        <a:p>
          <a:r>
            <a:rPr lang="hu-HU" sz="1100" b="1" baseline="0"/>
            <a:t>3 pont </a:t>
          </a:r>
          <a:r>
            <a:rPr lang="hu-HU" sz="1100" baseline="0"/>
            <a:t>= középértéket mutat, ami egy </a:t>
          </a:r>
        </a:p>
        <a:p>
          <a:r>
            <a:rPr lang="hu-HU" sz="1100" baseline="0"/>
            <a:t>	mérsékelten szigorú szabályozást jelezhet</a:t>
          </a:r>
        </a:p>
        <a:p>
          <a:endParaRPr lang="hu-HU" sz="1100" baseline="0"/>
        </a:p>
        <a:p>
          <a:endParaRPr lang="hu-HU" sz="1100"/>
        </a:p>
      </xdr:txBody>
    </xdr:sp>
    <xdr:clientData/>
  </xdr:twoCellAnchor>
  <xdr:twoCellAnchor>
    <xdr:from>
      <xdr:col>1</xdr:col>
      <xdr:colOff>152400</xdr:colOff>
      <xdr:row>32</xdr:row>
      <xdr:rowOff>123825</xdr:rowOff>
    </xdr:from>
    <xdr:to>
      <xdr:col>3</xdr:col>
      <xdr:colOff>1676400</xdr:colOff>
      <xdr:row>50</xdr:row>
      <xdr:rowOff>85725</xdr:rowOff>
    </xdr:to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895600" y="6743700"/>
          <a:ext cx="6848475" cy="3390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400" b="1"/>
            <a:t>A korlátozottsági iránykód értelmezése</a:t>
          </a:r>
        </a:p>
        <a:p>
          <a:endParaRPr lang="hu-HU"/>
        </a:p>
        <a:p>
          <a:r>
            <a:rPr lang="hu-HU" b="0"/>
            <a:t>Az egyes országok drónszabályozásának szigorúságát kvantifikált (számszerűsített) formában értékeltem. </a:t>
          </a:r>
        </a:p>
        <a:p>
          <a:r>
            <a:rPr lang="hu-HU" b="0"/>
            <a:t>Ehhez hat kiválasztott mutatót vizsgáltam, amelyek mind a műveleti szabadságot és adminisztratív terhelést tükrözik (pl. szabadon használható légtérarány, engedélykötelezettség, pilótaszámhoz viszonyított terület stb.)</a:t>
          </a:r>
        </a:p>
        <a:p>
          <a:endParaRPr lang="hu-HU" b="0"/>
        </a:p>
        <a:p>
          <a:r>
            <a:rPr lang="hu-HU" b="0"/>
            <a:t>Minden egyes mutatóhoz meghatároztam egy irányított értelmezési</a:t>
          </a:r>
          <a:r>
            <a:rPr lang="hu-HU" b="0" baseline="0"/>
            <a:t> </a:t>
          </a:r>
          <a:r>
            <a:rPr lang="hu-HU" b="0"/>
            <a:t>logikát: pl. minél kisebb a szabad terület aránya, annál szigorúbb a szabályozás. </a:t>
          </a:r>
        </a:p>
        <a:p>
          <a:r>
            <a:rPr lang="hu-HU" b="0"/>
            <a:t>A hat ország adatait összevetettem az adott mutató középértékével (átlagával), és ha az adott ország az "irány szerint szigorúbb" kategóriába eseik, 1 pontot kapott. </a:t>
          </a:r>
        </a:p>
        <a:p>
          <a:endParaRPr lang="hu-HU" b="0"/>
        </a:p>
        <a:p>
          <a:r>
            <a:rPr lang="hu-HU" b="0"/>
            <a:t>Az így képzett iránykód arra</a:t>
          </a:r>
          <a:r>
            <a:rPr lang="hu-HU" b="0" baseline="0"/>
            <a:t> az </a:t>
          </a:r>
          <a:r>
            <a:rPr lang="hu-HU" b="0"/>
            <a:t> országra vonatkozóan , a szigorúan szabályozott mutatók számát jelenti.</a:t>
          </a:r>
        </a:p>
        <a:p>
          <a:endParaRPr lang="hu-HU" b="0"/>
        </a:p>
        <a:p>
          <a:r>
            <a:rPr lang="hu-HU" b="0"/>
            <a:t>Magyarország példájánál maradva: 3 olyan mutató</a:t>
          </a:r>
          <a:r>
            <a:rPr lang="hu-HU" b="0" baseline="0"/>
            <a:t> jelentkezett, ami </a:t>
          </a:r>
          <a:r>
            <a:rPr lang="hu-HU" b="0"/>
            <a:t> a középértéknél szigorúbb lett, így az  ország összesített iránykódja 3 lett. </a:t>
          </a:r>
        </a:p>
        <a:p>
          <a:r>
            <a:rPr lang="hu-HU" b="0"/>
            <a:t>Ez a megközelítés egy</a:t>
          </a:r>
          <a:r>
            <a:rPr lang="hu-HU" b="0" baseline="0"/>
            <a:t> egyféleképpen </a:t>
          </a:r>
          <a:r>
            <a:rPr lang="hu-HU" b="0"/>
            <a:t>összehasonlítható, számszerűsített képet</a:t>
          </a:r>
          <a:r>
            <a:rPr lang="hu-HU" b="0" baseline="0"/>
            <a:t> mutat, </a:t>
          </a:r>
          <a:r>
            <a:rPr lang="hu-HU" b="0"/>
            <a:t> a környező</a:t>
          </a:r>
          <a:r>
            <a:rPr lang="hu-HU" b="0" baseline="0"/>
            <a:t> 6 </a:t>
          </a:r>
          <a:r>
            <a:rPr lang="hu-HU" b="0"/>
            <a:t>országok drónszabályozásának szigorúságáról.</a:t>
          </a:r>
        </a:p>
        <a:p>
          <a:endParaRPr lang="hu-H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23</xdr:row>
      <xdr:rowOff>76200</xdr:rowOff>
    </xdr:from>
    <xdr:to>
      <xdr:col>4</xdr:col>
      <xdr:colOff>1847850</xdr:colOff>
      <xdr:row>38</xdr:row>
      <xdr:rowOff>152400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867025" y="7486650"/>
          <a:ext cx="6372225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400" b="1"/>
            <a:t>Táblázat értelmezése:</a:t>
          </a:r>
        </a:p>
        <a:p>
          <a:endParaRPr lang="hu-HU"/>
        </a:p>
        <a:p>
          <a:r>
            <a:rPr lang="hu-HU"/>
            <a:t>Az táblázatban kétféle irányt alkalmazok: a korrelációs alapú és a medián alapú elemzési irányt. Ezek az irányok megmutatják, hogy az adott mutató növekedése vagy csökkenése milyen hatással van a repülési lehetőségekre és a légtér használhatóságára.</a:t>
          </a:r>
        </a:p>
        <a:p>
          <a:endParaRPr lang="hu-HU" b="1"/>
        </a:p>
        <a:p>
          <a:r>
            <a:rPr lang="hu-HU" b="1"/>
            <a:t>Pozitív irány (0):</a:t>
          </a:r>
          <a:r>
            <a:rPr lang="hu-HU"/>
            <a:t> A növekedés javulást, kedvező hatást jelent (például több szabad terület vagy több regisztrált pilóta).</a:t>
          </a:r>
        </a:p>
        <a:p>
          <a:r>
            <a:rPr lang="hu-HU" b="1"/>
            <a:t>Negatív irány (1):</a:t>
          </a:r>
          <a:r>
            <a:rPr lang="hu-HU"/>
            <a:t> A növekedés kedvezőtlen hatású, vagyis csökkenés a kívánatosabb (például katonai zónák, ahol nem lehet repülni).</a:t>
          </a:r>
        </a:p>
        <a:p>
          <a:endParaRPr lang="hu-HU"/>
        </a:p>
        <a:p>
          <a:r>
            <a:rPr lang="hu-HU"/>
            <a:t>A korrelációs alapú elemzési irány egy statikus összefüggést</a:t>
          </a:r>
          <a:r>
            <a:rPr lang="hu-HU" baseline="0"/>
            <a:t> tükröz, a medián alapú irány, medián értékek alapján értékeli a mutatóklat, a szabályozottság és arányosság szempontjából.</a:t>
          </a:r>
        </a:p>
        <a:p>
          <a:endParaRPr lang="hu-HU" baseline="0"/>
        </a:p>
        <a:p>
          <a:r>
            <a:rPr lang="hu-HU" baseline="0"/>
            <a:t>Medián érték:  </a:t>
          </a:r>
          <a:r>
            <a:rPr lang="hu-HU"/>
            <a:t>az a szám, amely pontosan a középen van, így a fele az adatoknak kisebb vagy egyenlő nála, és a másik fele nagyobb vagy egyenlő nála.</a:t>
          </a:r>
        </a:p>
        <a:p>
          <a:endParaRPr lang="hu-HU"/>
        </a:p>
        <a:p>
          <a:endParaRPr lang="hu-H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628649</xdr:colOff>
      <xdr:row>11</xdr:row>
      <xdr:rowOff>104775</xdr:rowOff>
    </xdr:from>
    <xdr:to>
      <xdr:col>5</xdr:col>
      <xdr:colOff>1943100</xdr:colOff>
      <xdr:row>25</xdr:row>
      <xdr:rowOff>123825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504949" y="3200400"/>
          <a:ext cx="9134476" cy="2686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400" b="1"/>
            <a:t>Magyarázat a mediánalapú értékelő táblához</a:t>
          </a:r>
        </a:p>
        <a:p>
          <a:endParaRPr lang="hu-HU" sz="1400" b="1"/>
        </a:p>
        <a:p>
          <a:r>
            <a:rPr lang="hu-HU" sz="1100"/>
            <a:t>Ez a táblázat az egyes országok drónhasználat szempontjából,</a:t>
          </a:r>
          <a:r>
            <a:rPr lang="hu-HU" sz="1100" baseline="0"/>
            <a:t> a </a:t>
          </a:r>
          <a:r>
            <a:rPr lang="hu-HU" sz="1100"/>
            <a:t> releváns mutatóinak szigorúságát értékeli.</a:t>
          </a:r>
          <a:br>
            <a:rPr lang="hu-HU" sz="1100"/>
          </a:br>
          <a:r>
            <a:rPr lang="hu-HU" sz="1100"/>
            <a:t>A mutatókhoz tartozó értékek összevetésre kerülnek a többi ország hasonló értékeivel, és az eredmény bináris formában jelenik meg:</a:t>
          </a:r>
        </a:p>
        <a:p>
          <a:endParaRPr lang="hu-HU" sz="1100"/>
        </a:p>
        <a:p>
          <a:r>
            <a:rPr lang="hu-HU" sz="1100" b="1"/>
            <a:t>1 = szigorúbb</a:t>
          </a:r>
          <a:r>
            <a:rPr lang="hu-HU" sz="1100"/>
            <a:t>, mint a medián (korlátozottabb környezet vagy alacsonyabb engedélyezettség),</a:t>
          </a:r>
        </a:p>
        <a:p>
          <a:r>
            <a:rPr lang="hu-HU" sz="1100" b="1"/>
            <a:t>0 = enyhébb</a:t>
          </a:r>
          <a:r>
            <a:rPr lang="hu-HU" sz="1100"/>
            <a:t>, mint a medián (engedékenyebb szabályozás vagy nagyobb esetleg a szabadság).</a:t>
          </a:r>
        </a:p>
        <a:p>
          <a:endParaRPr lang="hu-HU" sz="1100"/>
        </a:p>
        <a:p>
          <a:r>
            <a:rPr lang="hu-HU" sz="1100"/>
            <a:t>A medián egy adott mutatóra vonatkozóan az összes ország értékének középső értéke, így kiegyensúlyozott viszonyítási alapot ad.</a:t>
          </a:r>
        </a:p>
        <a:p>
          <a:endParaRPr lang="hu-HU" sz="1100"/>
        </a:p>
        <a:p>
          <a:r>
            <a:rPr lang="hu-HU" sz="1100"/>
            <a:t>példa:</a:t>
          </a:r>
          <a:r>
            <a:rPr lang="hu-HU" sz="1100" baseline="0"/>
            <a:t> Ha egy ország "Tiltott légterek (km</a:t>
          </a:r>
          <a:r>
            <a:rPr lang="hu-HU" sz="1100" baseline="30000"/>
            <a:t>2</a:t>
          </a:r>
          <a:r>
            <a:rPr lang="hu-HU" sz="1100" baseline="0"/>
            <a:t>) oszlopban  </a:t>
          </a:r>
          <a:r>
            <a:rPr lang="hu-HU" sz="1100" b="1" baseline="0"/>
            <a:t>1-es </a:t>
          </a:r>
          <a:r>
            <a:rPr lang="hu-HU" sz="1100" baseline="0"/>
            <a:t>értéket kap, akkor annál az országnál a tiltott légtér területe nagyobb, mint az ország mediánértéke, azaz szigorubb szabályozás jellemzi.</a:t>
          </a:r>
        </a:p>
        <a:p>
          <a:r>
            <a:rPr lang="hu-HU" sz="1100" baseline="0"/>
            <a:t>Ha a "Szabad terület aránya (%)" oszlopban az érték </a:t>
          </a:r>
          <a:r>
            <a:rPr lang="hu-HU" sz="1100" b="1" baseline="0"/>
            <a:t>0-át</a:t>
          </a:r>
          <a:r>
            <a:rPr lang="hu-HU" sz="1100" baseline="0"/>
            <a:t> kapott, akkor az ország a mediánnál kisebb szabadságfokot biztosít a drónhasználatra, ami kevésbé kedvezőbb helyzetet teremt.</a:t>
          </a:r>
        </a:p>
        <a:p>
          <a:r>
            <a:rPr lang="hu-HU" sz="1100" baseline="0"/>
            <a:t> </a:t>
          </a:r>
          <a:endParaRPr lang="hu-H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2581274</xdr:colOff>
      <xdr:row>70</xdr:row>
      <xdr:rowOff>66674</xdr:rowOff>
    </xdr:from>
    <xdr:to>
      <xdr:col>5</xdr:col>
      <xdr:colOff>381000</xdr:colOff>
      <xdr:row>77</xdr:row>
      <xdr:rowOff>142875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581274" y="16706849"/>
          <a:ext cx="8801101" cy="1409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600" b="1"/>
            <a:t>Táblázatok értelmezése:</a:t>
          </a:r>
        </a:p>
        <a:p>
          <a:endParaRPr lang="hu-HU" sz="1100"/>
        </a:p>
        <a:p>
          <a:r>
            <a:rPr lang="hu-HU" sz="1100" b="1"/>
            <a:t>Normál érték (0–1)</a:t>
          </a:r>
          <a:r>
            <a:rPr lang="hu-HU" sz="1100"/>
            <a:t>:   Az adott kategória értékének aránya a legnagyobb előforduló értékhez viszonyítva.</a:t>
          </a:r>
        </a:p>
        <a:p>
          <a:r>
            <a:rPr lang="hu-HU" sz="1100" b="1"/>
            <a:t>Súlyozott szám</a:t>
          </a:r>
          <a:r>
            <a:rPr lang="hu-HU" sz="1100"/>
            <a:t>:    </a:t>
          </a:r>
          <a:r>
            <a:rPr lang="hu-HU" sz="1100" baseline="0"/>
            <a:t>      </a:t>
          </a:r>
          <a:r>
            <a:rPr lang="hu-HU" sz="1100"/>
            <a:t>A kategóriák fontosságát tükrözi (pl. tiltott légterek nagyobb súlyt kapnak).</a:t>
          </a:r>
        </a:p>
        <a:p>
          <a:r>
            <a:rPr lang="hu-HU" sz="1100" b="1"/>
            <a:t>Részpontszám:	         </a:t>
          </a:r>
          <a:r>
            <a:rPr lang="hu-HU" sz="1100"/>
            <a:t>A normál érték és a súly szorzata – minél nagyobb, annál korlátozottabb az adott terület.</a:t>
          </a:r>
        </a:p>
        <a:p>
          <a:r>
            <a:rPr lang="hu-HU" sz="1100" b="1"/>
            <a:t>Összesített érték (részpontszám):</a:t>
          </a:r>
          <a:r>
            <a:rPr lang="hu-HU" sz="1100" b="1" baseline="0"/>
            <a:t>      </a:t>
          </a:r>
          <a:r>
            <a:rPr lang="hu-HU" sz="1100"/>
            <a:t>Az ország drónhasználatát korlátozó tényezők súlyozott összege. Minél nagyobb, annál több a korlátozás.</a:t>
          </a:r>
        </a:p>
        <a:p>
          <a:endParaRPr lang="hu-H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22</xdr:row>
      <xdr:rowOff>95250</xdr:rowOff>
    </xdr:from>
    <xdr:to>
      <xdr:col>4</xdr:col>
      <xdr:colOff>1295400</xdr:colOff>
      <xdr:row>28</xdr:row>
      <xdr:rowOff>123826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47700" y="6448425"/>
          <a:ext cx="6572250" cy="11715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400" b="1"/>
            <a:t>A táblázat rövid értelmezése:</a:t>
          </a:r>
        </a:p>
        <a:p>
          <a:br>
            <a:rPr lang="hu-HU"/>
          </a:br>
          <a:r>
            <a:rPr lang="hu-HU"/>
            <a:t>A táblázat  korrelációs értékei azt mutatják, hogy az egyes mutatók viszony</a:t>
          </a:r>
          <a:r>
            <a:rPr lang="hu-HU" baseline="0"/>
            <a:t> aránya,</a:t>
          </a:r>
          <a:r>
            <a:rPr lang="hu-HU"/>
            <a:t> milyen hatással vannak a drónhasználat szabadságára. Pozitív értékek jobb, szabadabb lehetőségeket jeleznek, míg negatívak szigorítást vagy korlátozást. Legfontosabb tényező a szabad terület nagysága, amely erősen befolyásolja a használhatóságot.</a:t>
          </a:r>
          <a:endParaRPr lang="hu-HU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22</xdr:row>
      <xdr:rowOff>962025</xdr:rowOff>
    </xdr:from>
    <xdr:to>
      <xdr:col>13</xdr:col>
      <xdr:colOff>1162050</xdr:colOff>
      <xdr:row>24</xdr:row>
      <xdr:rowOff>352425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9201150" y="5191125"/>
          <a:ext cx="4972050" cy="2076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400" b="1"/>
            <a:t>Korrelációs mátrix táblázat értelmezése:</a:t>
          </a:r>
        </a:p>
        <a:p>
          <a:endParaRPr lang="hu-HU" sz="1100"/>
        </a:p>
        <a:p>
          <a:r>
            <a:rPr lang="hu-HU" sz="1100"/>
            <a:t>A</a:t>
          </a:r>
          <a:r>
            <a:rPr lang="hu-HU" sz="1100" baseline="0"/>
            <a:t> változók közötti páronkénti korrelációt mutatja. A sorok és az oszlopok ugyanazok, mivel minden változó , minden másik változóval való kapcsolatát jeleníti meg.</a:t>
          </a:r>
        </a:p>
        <a:p>
          <a:r>
            <a:rPr lang="hu-HU" sz="1100" baseline="0"/>
            <a:t>A fő átlóban mindig egyes az érték, mert egy változó teljes mértékben önmagával korrelál.</a:t>
          </a:r>
        </a:p>
        <a:p>
          <a:endParaRPr lang="hu-HU" sz="1100" baseline="0"/>
        </a:p>
        <a:p>
          <a:r>
            <a:rPr lang="hu-HU" sz="1100" baseline="0"/>
            <a:t>Az oszlopok és sorok egymás értékeit tükrözik, mert a korreláció szimmetrikus. </a:t>
          </a:r>
        </a:p>
        <a:p>
          <a:endParaRPr lang="hu-HU" sz="1100" baseline="0"/>
        </a:p>
        <a:p>
          <a:r>
            <a:rPr lang="hu-HU" sz="1100" baseline="0"/>
            <a:t>Így áttekinthető, hogy mely változók vannak összefüggésben egymással.</a:t>
          </a:r>
          <a:r>
            <a:rPr lang="hu-HU" sz="1100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asa.europa.eu/hu/light/topics/drone-operators-pilots" TargetMode="External"/><Relationship Id="rId3" Type="http://schemas.openxmlformats.org/officeDocument/2006/relationships/hyperlink" Target="https://map.droniq.de/" TargetMode="External"/><Relationship Id="rId7" Type="http://schemas.openxmlformats.org/officeDocument/2006/relationships/hyperlink" Target="https://www.easa.europa.eu/hu/light/topics/drone-operators-pilots" TargetMode="External"/><Relationship Id="rId2" Type="http://schemas.openxmlformats.org/officeDocument/2006/relationships/hyperlink" Target="https://experience.arcgis.com/experience/1cad6eae759746c0a2cc8cb85f6db776" TargetMode="External"/><Relationship Id="rId1" Type="http://schemas.openxmlformats.org/officeDocument/2006/relationships/hyperlink" Target="https://www.easa.europa.eu/en/domains/civil-drones" TargetMode="External"/><Relationship Id="rId6" Type="http://schemas.openxmlformats.org/officeDocument/2006/relationships/hyperlink" Target="https://en.wikipedia.org/wiki/List_of_countries_and_dependencies_by_area" TargetMode="External"/><Relationship Id="rId5" Type="http://schemas.openxmlformats.org/officeDocument/2006/relationships/hyperlink" Target="https://terkep.droneinfo.hu/" TargetMode="External"/><Relationship Id="rId4" Type="http://schemas.openxmlformats.org/officeDocument/2006/relationships/hyperlink" Target="https://www.caa.ro/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7"/>
  <sheetViews>
    <sheetView zoomScale="35" workbookViewId="0"/>
  </sheetViews>
  <sheetFormatPr defaultRowHeight="14.4" x14ac:dyDescent="0.3"/>
  <cols>
    <col min="1" max="1" width="26.109375" customWidth="1"/>
    <col min="2" max="2" width="169" bestFit="1" customWidth="1"/>
  </cols>
  <sheetData>
    <row r="1" spans="1:2" ht="18.600000000000001" thickBot="1" x14ac:dyDescent="0.35">
      <c r="A1" s="138" t="s">
        <v>27</v>
      </c>
      <c r="B1" s="139" t="s">
        <v>28</v>
      </c>
    </row>
    <row r="2" spans="1:2" x14ac:dyDescent="0.3">
      <c r="A2" s="136" t="s">
        <v>34</v>
      </c>
      <c r="B2" s="140" t="s">
        <v>35</v>
      </c>
    </row>
    <row r="3" spans="1:2" ht="43.2" x14ac:dyDescent="0.3">
      <c r="A3" s="137" t="s">
        <v>29</v>
      </c>
      <c r="B3" s="135" t="s">
        <v>38</v>
      </c>
    </row>
    <row r="4" spans="1:2" x14ac:dyDescent="0.3">
      <c r="A4" s="137" t="s">
        <v>36</v>
      </c>
      <c r="B4" s="135" t="s">
        <v>37</v>
      </c>
    </row>
    <row r="5" spans="1:2" x14ac:dyDescent="0.3">
      <c r="A5" s="137" t="s">
        <v>31</v>
      </c>
      <c r="B5" s="135" t="s">
        <v>32</v>
      </c>
    </row>
    <row r="6" spans="1:2" ht="158.4" x14ac:dyDescent="0.3">
      <c r="A6" s="137" t="s">
        <v>30</v>
      </c>
      <c r="B6" s="135" t="s">
        <v>161</v>
      </c>
    </row>
    <row r="7" spans="1:2" x14ac:dyDescent="0.3">
      <c r="A7" s="137" t="s">
        <v>33</v>
      </c>
      <c r="B7" s="135" t="s">
        <v>58</v>
      </c>
    </row>
    <row r="8" spans="1:2" ht="90" customHeight="1" x14ac:dyDescent="0.3">
      <c r="A8" s="175" t="s">
        <v>162</v>
      </c>
      <c r="B8" s="174" t="s">
        <v>163</v>
      </c>
    </row>
    <row r="9" spans="1:2" ht="60" customHeight="1" x14ac:dyDescent="0.3">
      <c r="A9" s="175"/>
      <c r="B9" s="174"/>
    </row>
    <row r="10" spans="1:2" ht="45" customHeight="1" x14ac:dyDescent="0.3">
      <c r="A10" s="175"/>
      <c r="B10" s="174"/>
    </row>
    <row r="11" spans="1:2" ht="15.6" x14ac:dyDescent="0.3">
      <c r="A11" s="176" t="s">
        <v>164</v>
      </c>
      <c r="B11" s="141" t="s">
        <v>165</v>
      </c>
    </row>
    <row r="12" spans="1:2" x14ac:dyDescent="0.3">
      <c r="A12" s="177"/>
      <c r="B12" s="142"/>
    </row>
    <row r="13" spans="1:2" x14ac:dyDescent="0.3">
      <c r="A13" s="177"/>
      <c r="B13" s="143" t="s">
        <v>166</v>
      </c>
    </row>
    <row r="14" spans="1:2" x14ac:dyDescent="0.3">
      <c r="A14" s="177"/>
      <c r="B14" s="142" t="s">
        <v>167</v>
      </c>
    </row>
    <row r="15" spans="1:2" x14ac:dyDescent="0.3">
      <c r="A15" s="177"/>
      <c r="B15" s="143"/>
    </row>
    <row r="16" spans="1:2" x14ac:dyDescent="0.3">
      <c r="A16" s="177"/>
      <c r="B16" s="143" t="s">
        <v>168</v>
      </c>
    </row>
    <row r="17" spans="1:2" x14ac:dyDescent="0.3">
      <c r="A17" s="177"/>
      <c r="B17" s="142" t="s">
        <v>169</v>
      </c>
    </row>
    <row r="18" spans="1:2" x14ac:dyDescent="0.3">
      <c r="A18" s="177"/>
      <c r="B18" s="143"/>
    </row>
    <row r="19" spans="1:2" x14ac:dyDescent="0.3">
      <c r="A19" s="177"/>
      <c r="B19" s="143" t="s">
        <v>170</v>
      </c>
    </row>
    <row r="20" spans="1:2" x14ac:dyDescent="0.3">
      <c r="A20" s="177"/>
      <c r="B20" s="143" t="s">
        <v>171</v>
      </c>
    </row>
    <row r="21" spans="1:2" x14ac:dyDescent="0.3">
      <c r="A21" s="177"/>
      <c r="B21" s="142" t="s">
        <v>172</v>
      </c>
    </row>
    <row r="22" spans="1:2" x14ac:dyDescent="0.3">
      <c r="A22" s="177"/>
      <c r="B22" s="143" t="s">
        <v>173</v>
      </c>
    </row>
    <row r="23" spans="1:2" x14ac:dyDescent="0.3">
      <c r="A23" s="177"/>
      <c r="B23" s="143" t="s">
        <v>174</v>
      </c>
    </row>
    <row r="24" spans="1:2" x14ac:dyDescent="0.3">
      <c r="A24" s="177"/>
      <c r="B24" s="143"/>
    </row>
    <row r="25" spans="1:2" x14ac:dyDescent="0.3">
      <c r="A25" s="177"/>
      <c r="B25" s="143" t="s">
        <v>175</v>
      </c>
    </row>
    <row r="26" spans="1:2" x14ac:dyDescent="0.3">
      <c r="A26" s="177"/>
      <c r="B26" s="142" t="s">
        <v>176</v>
      </c>
    </row>
    <row r="27" spans="1:2" x14ac:dyDescent="0.3">
      <c r="A27" s="177"/>
      <c r="B27" s="143"/>
    </row>
    <row r="28" spans="1:2" x14ac:dyDescent="0.3">
      <c r="A28" s="177"/>
      <c r="B28" s="143" t="s">
        <v>177</v>
      </c>
    </row>
    <row r="29" spans="1:2" x14ac:dyDescent="0.3">
      <c r="A29" s="177"/>
      <c r="B29" s="144" t="s">
        <v>178</v>
      </c>
    </row>
    <row r="30" spans="1:2" x14ac:dyDescent="0.3">
      <c r="A30" s="177"/>
      <c r="B30" s="143"/>
    </row>
    <row r="31" spans="1:2" x14ac:dyDescent="0.3">
      <c r="A31" s="177"/>
      <c r="B31" s="144" t="s">
        <v>179</v>
      </c>
    </row>
    <row r="32" spans="1:2" x14ac:dyDescent="0.3">
      <c r="A32" s="177"/>
      <c r="B32" s="145"/>
    </row>
    <row r="33" spans="1:2" x14ac:dyDescent="0.3">
      <c r="A33" s="177"/>
      <c r="B33" s="146" t="s">
        <v>180</v>
      </c>
    </row>
    <row r="34" spans="1:2" x14ac:dyDescent="0.3">
      <c r="A34" s="177"/>
      <c r="B34" s="144" t="s">
        <v>181</v>
      </c>
    </row>
    <row r="35" spans="1:2" x14ac:dyDescent="0.3">
      <c r="A35" s="177"/>
      <c r="B35" s="145"/>
    </row>
    <row r="36" spans="1:2" x14ac:dyDescent="0.3">
      <c r="A36" s="177"/>
      <c r="B36" s="146" t="s">
        <v>182</v>
      </c>
    </row>
    <row r="37" spans="1:2" ht="15" thickBot="1" x14ac:dyDescent="0.35">
      <c r="A37" s="178"/>
      <c r="B37" s="147" t="s">
        <v>181</v>
      </c>
    </row>
  </sheetData>
  <mergeCells count="3">
    <mergeCell ref="B8:B10"/>
    <mergeCell ref="A8:A10"/>
    <mergeCell ref="A11:A37"/>
  </mergeCells>
  <hyperlinks>
    <hyperlink ref="B14" r:id="rId1" xr:uid="{00000000-0004-0000-0000-000000000000}"/>
    <hyperlink ref="B17" r:id="rId2" xr:uid="{00000000-0004-0000-0000-000001000000}"/>
    <hyperlink ref="B21" r:id="rId3" xr:uid="{00000000-0004-0000-0000-000002000000}"/>
    <hyperlink ref="B26" r:id="rId4" xr:uid="{00000000-0004-0000-0000-000003000000}"/>
    <hyperlink ref="B29" r:id="rId5" display="https://terkep.droneinfo.hu/" xr:uid="{00000000-0004-0000-0000-000004000000}"/>
    <hyperlink ref="B31" r:id="rId6" display="https://en.wikipedia.org/wiki/List_of_countries_and_dependencies_by_area" xr:uid="{00000000-0004-0000-0000-000005000000}"/>
    <hyperlink ref="B34" r:id="rId7" xr:uid="{00000000-0004-0000-0000-000006000000}"/>
    <hyperlink ref="B37" r:id="rId8" xr:uid="{00000000-0004-0000-0000-000007000000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9"/>
  <sheetViews>
    <sheetView tabSelected="1" zoomScale="34" zoomScaleNormal="25" workbookViewId="0">
      <selection activeCell="B10" sqref="B9:B10"/>
    </sheetView>
  </sheetViews>
  <sheetFormatPr defaultRowHeight="14.4" x14ac:dyDescent="0.3"/>
  <cols>
    <col min="1" max="1" width="32.88671875" bestFit="1" customWidth="1"/>
    <col min="2" max="2" width="18.44140625" bestFit="1" customWidth="1"/>
    <col min="3" max="3" width="19.88671875" bestFit="1" customWidth="1"/>
    <col min="4" max="4" width="24.44140625" bestFit="1" customWidth="1"/>
    <col min="5" max="5" width="18.88671875" bestFit="1" customWidth="1"/>
    <col min="6" max="6" width="21" bestFit="1" customWidth="1"/>
    <col min="7" max="7" width="40.88671875" customWidth="1"/>
    <col min="8" max="8" width="24.44140625" customWidth="1"/>
    <col min="9" max="9" width="23.88671875" bestFit="1" customWidth="1"/>
    <col min="10" max="10" width="22.44140625" bestFit="1" customWidth="1"/>
    <col min="11" max="11" width="19.6640625" bestFit="1" customWidth="1"/>
    <col min="12" max="12" width="31" customWidth="1"/>
    <col min="13" max="13" width="26.33203125" bestFit="1" customWidth="1"/>
    <col min="14" max="14" width="16.109375" bestFit="1" customWidth="1"/>
    <col min="15" max="15" width="23" bestFit="1" customWidth="1"/>
    <col min="16" max="16" width="28.5546875" bestFit="1" customWidth="1"/>
    <col min="17" max="17" width="39.5546875" bestFit="1" customWidth="1"/>
    <col min="18" max="18" width="41.109375" bestFit="1" customWidth="1"/>
    <col min="19" max="19" width="38.88671875" bestFit="1" customWidth="1"/>
    <col min="20" max="20" width="19.109375" bestFit="1" customWidth="1"/>
  </cols>
  <sheetData>
    <row r="1" spans="1:20" ht="18" x14ac:dyDescent="0.35">
      <c r="A1" s="45" t="s">
        <v>0</v>
      </c>
      <c r="B1" s="46" t="s">
        <v>13</v>
      </c>
      <c r="C1" s="46" t="s">
        <v>14</v>
      </c>
      <c r="D1" s="46" t="s">
        <v>15</v>
      </c>
      <c r="E1" s="46" t="s">
        <v>16</v>
      </c>
      <c r="F1" s="46" t="s">
        <v>17</v>
      </c>
      <c r="G1" s="46" t="s">
        <v>18</v>
      </c>
      <c r="H1" s="46" t="s">
        <v>1</v>
      </c>
      <c r="I1" s="46" t="s">
        <v>2</v>
      </c>
      <c r="J1" s="46" t="s">
        <v>3</v>
      </c>
      <c r="K1" s="46" t="s">
        <v>4</v>
      </c>
      <c r="L1" s="46" t="s">
        <v>5</v>
      </c>
      <c r="M1" s="46" t="s">
        <v>20</v>
      </c>
      <c r="N1" s="46" t="s">
        <v>6</v>
      </c>
      <c r="O1" s="46" t="s">
        <v>19</v>
      </c>
      <c r="P1" s="46" t="s">
        <v>21</v>
      </c>
      <c r="Q1" s="46" t="s">
        <v>22</v>
      </c>
      <c r="R1" s="46" t="s">
        <v>23</v>
      </c>
      <c r="S1" s="47" t="s">
        <v>26</v>
      </c>
    </row>
    <row r="2" spans="1:20" x14ac:dyDescent="0.3">
      <c r="A2" s="20" t="s">
        <v>7</v>
      </c>
      <c r="B2" s="20">
        <v>93030</v>
      </c>
      <c r="C2" s="20">
        <v>30000</v>
      </c>
      <c r="D2" s="20">
        <v>20000</v>
      </c>
      <c r="E2" s="20">
        <v>8000</v>
      </c>
      <c r="F2" s="20">
        <v>6000</v>
      </c>
      <c r="G2" s="20">
        <v>4000</v>
      </c>
      <c r="H2" s="20">
        <v>25030</v>
      </c>
      <c r="I2" s="20">
        <f>H2/B2*100</f>
        <v>26.905299365795983</v>
      </c>
      <c r="J2" s="20">
        <v>4603</v>
      </c>
      <c r="K2" s="20">
        <v>31</v>
      </c>
      <c r="L2" s="20">
        <v>2574</v>
      </c>
      <c r="M2" s="20">
        <f>L2/J2*100</f>
        <v>55.920052139908762</v>
      </c>
      <c r="N2" s="20">
        <v>1178</v>
      </c>
      <c r="O2" s="20">
        <f>N2/J2*100</f>
        <v>25.592005213990877</v>
      </c>
      <c r="P2" s="20">
        <f>(N2+L2)/J2</f>
        <v>0.81512057353899625</v>
      </c>
      <c r="Q2" s="20">
        <f>K2/J2*100</f>
        <v>0.67347382142081247</v>
      </c>
      <c r="R2" s="20">
        <f>N2/L2*100</f>
        <v>45.765345765345764</v>
      </c>
      <c r="S2" s="20">
        <f>H2/L2</f>
        <v>9.7241647241647247</v>
      </c>
    </row>
    <row r="3" spans="1:20" x14ac:dyDescent="0.3">
      <c r="A3" s="20" t="s">
        <v>8</v>
      </c>
      <c r="B3" s="20">
        <v>83879</v>
      </c>
      <c r="C3" s="20">
        <v>20000</v>
      </c>
      <c r="D3" s="20">
        <v>15000</v>
      </c>
      <c r="E3" s="20">
        <v>6000</v>
      </c>
      <c r="F3" s="20">
        <v>4000</v>
      </c>
      <c r="G3" s="20">
        <v>2000</v>
      </c>
      <c r="H3" s="20">
        <v>36879</v>
      </c>
      <c r="I3" s="20">
        <f t="shared" ref="I3:I7" si="0">H3/B3*100</f>
        <v>43.966904707972198</v>
      </c>
      <c r="J3" s="20">
        <v>51978</v>
      </c>
      <c r="K3" s="20">
        <v>44</v>
      </c>
      <c r="L3" s="20">
        <v>74188</v>
      </c>
      <c r="M3" s="20">
        <f t="shared" ref="M3:M7" si="1">L3/J3*100</f>
        <v>142.72961637615916</v>
      </c>
      <c r="N3" s="20">
        <v>2074</v>
      </c>
      <c r="O3" s="20">
        <f t="shared" ref="O3:O7" si="2">N3/J3*100</f>
        <v>3.9901496787102233</v>
      </c>
      <c r="P3" s="20">
        <f t="shared" ref="P3:P7" si="3">(N3+L3)/J3</f>
        <v>1.4671976605486936</v>
      </c>
      <c r="Q3" s="20">
        <f t="shared" ref="Q3:Q7" si="4">K3/J3*100</f>
        <v>8.4651198584016318E-2</v>
      </c>
      <c r="R3" s="20">
        <f t="shared" ref="R3:R7" si="5">N3/L3*100</f>
        <v>2.7956003666361138</v>
      </c>
      <c r="S3" s="20">
        <f t="shared" ref="S3:S7" si="6">H3/L3</f>
        <v>0.49710195718984201</v>
      </c>
    </row>
    <row r="4" spans="1:20" x14ac:dyDescent="0.3">
      <c r="A4" s="20" t="s">
        <v>9</v>
      </c>
      <c r="B4" s="20">
        <v>238397</v>
      </c>
      <c r="C4" s="20">
        <v>70000</v>
      </c>
      <c r="D4" s="20">
        <v>30000</v>
      </c>
      <c r="E4" s="20">
        <v>10000</v>
      </c>
      <c r="F4" s="20">
        <v>8000</v>
      </c>
      <c r="G4" s="20">
        <v>4000</v>
      </c>
      <c r="H4" s="20">
        <v>116397</v>
      </c>
      <c r="I4" s="20">
        <f t="shared" si="0"/>
        <v>48.824859373230368</v>
      </c>
      <c r="J4" s="20">
        <v>14710</v>
      </c>
      <c r="K4" s="20">
        <v>21</v>
      </c>
      <c r="L4" s="20">
        <v>6019</v>
      </c>
      <c r="M4" s="20">
        <f t="shared" si="1"/>
        <v>40.917743031951055</v>
      </c>
      <c r="N4" s="20">
        <v>2970</v>
      </c>
      <c r="O4" s="20">
        <f t="shared" si="2"/>
        <v>20.190346702923183</v>
      </c>
      <c r="P4" s="20">
        <f t="shared" si="3"/>
        <v>0.61108089734874238</v>
      </c>
      <c r="Q4" s="20">
        <f t="shared" si="4"/>
        <v>0.14276002719238612</v>
      </c>
      <c r="R4" s="20">
        <f t="shared" si="5"/>
        <v>49.343744808107658</v>
      </c>
      <c r="S4" s="20">
        <f t="shared" si="6"/>
        <v>19.338262169795648</v>
      </c>
    </row>
    <row r="5" spans="1:20" x14ac:dyDescent="0.3">
      <c r="A5" s="20" t="s">
        <v>10</v>
      </c>
      <c r="B5" s="20">
        <v>49035</v>
      </c>
      <c r="C5" s="20">
        <v>15000</v>
      </c>
      <c r="D5" s="20">
        <v>10000</v>
      </c>
      <c r="E5" s="20">
        <v>4000</v>
      </c>
      <c r="F5" s="20">
        <v>3000</v>
      </c>
      <c r="G5" s="20">
        <v>2000</v>
      </c>
      <c r="H5" s="20">
        <v>15035</v>
      </c>
      <c r="I5" s="20">
        <f t="shared" si="0"/>
        <v>30.661772203528091</v>
      </c>
      <c r="J5" s="20">
        <v>858</v>
      </c>
      <c r="K5" s="20">
        <v>5</v>
      </c>
      <c r="L5" s="20">
        <v>62</v>
      </c>
      <c r="M5" s="20">
        <f t="shared" si="1"/>
        <v>7.2261072261072261</v>
      </c>
      <c r="N5" s="20">
        <v>38</v>
      </c>
      <c r="O5" s="20">
        <f t="shared" si="2"/>
        <v>4.4289044289044286</v>
      </c>
      <c r="P5" s="20">
        <f t="shared" si="3"/>
        <v>0.11655011655011654</v>
      </c>
      <c r="Q5" s="20">
        <f t="shared" si="4"/>
        <v>0.58275058275058278</v>
      </c>
      <c r="R5" s="20">
        <f t="shared" si="5"/>
        <v>61.29032258064516</v>
      </c>
      <c r="S5" s="20">
        <f t="shared" si="6"/>
        <v>242.5</v>
      </c>
    </row>
    <row r="6" spans="1:20" x14ac:dyDescent="0.3">
      <c r="A6" s="20" t="s">
        <v>11</v>
      </c>
      <c r="B6" s="20">
        <v>20273</v>
      </c>
      <c r="C6" s="20">
        <v>6000</v>
      </c>
      <c r="D6" s="20">
        <v>4000</v>
      </c>
      <c r="E6" s="20">
        <v>2000</v>
      </c>
      <c r="F6" s="20">
        <v>1000</v>
      </c>
      <c r="G6" s="20">
        <v>1000</v>
      </c>
      <c r="H6" s="20">
        <v>6273</v>
      </c>
      <c r="I6" s="20">
        <f t="shared" si="0"/>
        <v>30.942633058748086</v>
      </c>
      <c r="J6" s="20">
        <v>5763</v>
      </c>
      <c r="K6" s="20">
        <v>64</v>
      </c>
      <c r="L6" s="20">
        <v>5018</v>
      </c>
      <c r="M6" s="20">
        <f t="shared" si="1"/>
        <v>87.072705188269993</v>
      </c>
      <c r="N6" s="20">
        <v>436</v>
      </c>
      <c r="O6" s="20">
        <f t="shared" si="2"/>
        <v>7.5655040777372893</v>
      </c>
      <c r="P6" s="20">
        <f t="shared" si="3"/>
        <v>0.94638209266007289</v>
      </c>
      <c r="Q6" s="20">
        <f t="shared" si="4"/>
        <v>1.1105327086586847</v>
      </c>
      <c r="R6" s="20">
        <f t="shared" si="5"/>
        <v>8.6887206058190518</v>
      </c>
      <c r="S6" s="20">
        <f t="shared" si="6"/>
        <v>1.2500996412913512</v>
      </c>
    </row>
    <row r="7" spans="1:20" x14ac:dyDescent="0.3">
      <c r="A7" s="20" t="s">
        <v>12</v>
      </c>
      <c r="B7" s="20">
        <v>357386</v>
      </c>
      <c r="C7" s="20">
        <v>100000</v>
      </c>
      <c r="D7" s="20">
        <v>80000</v>
      </c>
      <c r="E7" s="20">
        <v>30000</v>
      </c>
      <c r="F7" s="20">
        <v>20000</v>
      </c>
      <c r="G7" s="20">
        <v>10000</v>
      </c>
      <c r="H7" s="20">
        <v>117386</v>
      </c>
      <c r="I7" s="20">
        <f t="shared" si="0"/>
        <v>32.84571863475346</v>
      </c>
      <c r="J7" s="20">
        <v>694000</v>
      </c>
      <c r="K7" s="20">
        <v>289</v>
      </c>
      <c r="L7" s="20">
        <v>325000</v>
      </c>
      <c r="M7" s="20">
        <f t="shared" si="1"/>
        <v>46.829971181556196</v>
      </c>
      <c r="N7" s="20">
        <v>21600</v>
      </c>
      <c r="O7" s="20">
        <f t="shared" si="2"/>
        <v>3.1123919308357348</v>
      </c>
      <c r="P7" s="20">
        <f t="shared" si="3"/>
        <v>0.4994236311239193</v>
      </c>
      <c r="Q7" s="20">
        <f t="shared" si="4"/>
        <v>4.1642651296829966E-2</v>
      </c>
      <c r="R7" s="20">
        <f t="shared" si="5"/>
        <v>6.6461538461538456</v>
      </c>
      <c r="S7" s="20">
        <f t="shared" si="6"/>
        <v>0.36118769230769232</v>
      </c>
    </row>
    <row r="9" spans="1:20" x14ac:dyDescent="0.3">
      <c r="A9" s="157" t="s">
        <v>205</v>
      </c>
      <c r="B9" s="157">
        <v>1</v>
      </c>
      <c r="C9" s="157">
        <v>1</v>
      </c>
      <c r="D9" s="157">
        <v>1</v>
      </c>
      <c r="E9" s="157">
        <v>1</v>
      </c>
      <c r="F9" s="157">
        <v>1</v>
      </c>
      <c r="G9" s="157">
        <v>1</v>
      </c>
      <c r="H9" s="157">
        <v>1</v>
      </c>
      <c r="I9" s="157">
        <v>1</v>
      </c>
      <c r="J9" s="157">
        <v>1</v>
      </c>
      <c r="K9" s="157">
        <v>1</v>
      </c>
      <c r="L9" s="157">
        <v>1</v>
      </c>
      <c r="M9" s="157">
        <v>1</v>
      </c>
      <c r="N9" s="157">
        <v>1</v>
      </c>
      <c r="O9" s="157">
        <v>1</v>
      </c>
      <c r="P9" s="157">
        <v>1</v>
      </c>
      <c r="Q9" s="157">
        <v>1</v>
      </c>
      <c r="R9" s="157">
        <v>1</v>
      </c>
      <c r="S9" s="157">
        <v>1</v>
      </c>
    </row>
    <row r="10" spans="1:20" ht="157.19999999999999" customHeight="1" x14ac:dyDescent="0.3">
      <c r="A10" s="157" t="s">
        <v>183</v>
      </c>
      <c r="B10" s="158" t="s">
        <v>187</v>
      </c>
      <c r="C10" s="158" t="s">
        <v>188</v>
      </c>
      <c r="D10" s="158" t="s">
        <v>189</v>
      </c>
      <c r="E10" s="158" t="s">
        <v>190</v>
      </c>
      <c r="F10" s="158" t="s">
        <v>191</v>
      </c>
      <c r="G10" s="160" t="s">
        <v>192</v>
      </c>
      <c r="H10" s="158" t="s">
        <v>193</v>
      </c>
      <c r="I10" s="158" t="s">
        <v>194</v>
      </c>
      <c r="J10" s="158" t="s">
        <v>195</v>
      </c>
      <c r="K10" s="158" t="s">
        <v>196</v>
      </c>
      <c r="L10" s="158" t="s">
        <v>197</v>
      </c>
      <c r="M10" s="158" t="s">
        <v>198</v>
      </c>
      <c r="N10" s="158" t="s">
        <v>199</v>
      </c>
      <c r="O10" s="158" t="s">
        <v>200</v>
      </c>
      <c r="P10" s="158" t="s">
        <v>201</v>
      </c>
      <c r="Q10" s="158" t="s">
        <v>202</v>
      </c>
      <c r="R10" s="158" t="s">
        <v>203</v>
      </c>
      <c r="S10" s="158" t="s">
        <v>204</v>
      </c>
    </row>
    <row r="12" spans="1:20" x14ac:dyDescent="0.3">
      <c r="B12" t="s">
        <v>186</v>
      </c>
      <c r="C12" t="s">
        <v>186</v>
      </c>
      <c r="D12" t="s">
        <v>186</v>
      </c>
      <c r="E12" t="s">
        <v>186</v>
      </c>
      <c r="F12" t="s">
        <v>186</v>
      </c>
      <c r="G12" t="s">
        <v>186</v>
      </c>
      <c r="H12" t="s">
        <v>186</v>
      </c>
      <c r="I12" t="s">
        <v>186</v>
      </c>
      <c r="J12" t="s">
        <v>186</v>
      </c>
      <c r="K12" t="s">
        <v>186</v>
      </c>
      <c r="L12" t="s">
        <v>186</v>
      </c>
      <c r="M12" t="s">
        <v>186</v>
      </c>
      <c r="N12" t="s">
        <v>186</v>
      </c>
      <c r="O12" t="s">
        <v>186</v>
      </c>
      <c r="P12" t="s">
        <v>186</v>
      </c>
      <c r="Q12" t="s">
        <v>186</v>
      </c>
      <c r="R12" t="s">
        <v>186</v>
      </c>
      <c r="S12" t="s">
        <v>186</v>
      </c>
      <c r="T12" t="s">
        <v>185</v>
      </c>
    </row>
    <row r="13" spans="1:20" x14ac:dyDescent="0.3">
      <c r="A13" t="str">
        <f>A1</f>
        <v>Ország</v>
      </c>
      <c r="B13" t="str">
        <f t="shared" ref="B13:S13" si="7">B1</f>
        <v>Teljes terület (km²)</v>
      </c>
      <c r="C13" t="str">
        <f t="shared" si="7"/>
        <v>Tiltott légterek (km²)</v>
      </c>
      <c r="D13" t="str">
        <f t="shared" si="7"/>
        <v>Korlátozott légterek (km²)</v>
      </c>
      <c r="E13" t="str">
        <f t="shared" si="7"/>
        <v>Katonai zónák (km²)</v>
      </c>
      <c r="F13" t="str">
        <f t="shared" si="7"/>
        <v>Repülőtér zónák (km²)</v>
      </c>
      <c r="G13" t="str">
        <f t="shared" si="7"/>
        <v>Természetvédelmi területek (km²)</v>
      </c>
      <c r="H13" t="str">
        <f t="shared" si="7"/>
        <v>Szabad terület (km²)</v>
      </c>
      <c r="I13" t="str">
        <f t="shared" si="7"/>
        <v>Szabad terület aránya (%)</v>
      </c>
      <c r="J13" t="str">
        <f t="shared" si="7"/>
        <v>Regisztrált üzemeltetők</v>
      </c>
      <c r="K13" t="str">
        <f t="shared" si="7"/>
        <v>Operatív engedélyek</v>
      </c>
      <c r="L13" t="str">
        <f t="shared" si="7"/>
        <v>A1/A3 tanúsítványok</v>
      </c>
      <c r="M13" t="str">
        <f t="shared" si="7"/>
        <v>A1/A3 tanusítvány arány (%)</v>
      </c>
      <c r="N13" t="str">
        <f t="shared" si="7"/>
        <v>A2 tanúsítványok</v>
      </c>
      <c r="O13" t="str">
        <f t="shared" si="7"/>
        <v>A2 tanusítvány arány (%)</v>
      </c>
      <c r="P13" t="str">
        <f t="shared" si="7"/>
        <v>Tanusítvány/Üzemeltető arány</v>
      </c>
      <c r="Q13" t="str">
        <f t="shared" si="7"/>
        <v xml:space="preserve">Operatív engedély /Üzemeltető arány (%)  </v>
      </c>
      <c r="R13" t="str">
        <f t="shared" si="7"/>
        <v>A2 tanusítvány / A1-A3 tanusítvány arány (%)</v>
      </c>
      <c r="S13" t="str">
        <f t="shared" si="7"/>
        <v>Szabad terület / A1-A3 pilóta (km2/pilóta)</v>
      </c>
      <c r="T13" t="s">
        <v>184</v>
      </c>
    </row>
    <row r="14" spans="1:20" x14ac:dyDescent="0.3">
      <c r="A14" t="str">
        <f t="shared" ref="A14" si="8">A2</f>
        <v>Magyarország</v>
      </c>
      <c r="B14" s="159">
        <f>RANK(B2,B$2:B$7,B$9)</f>
        <v>4</v>
      </c>
      <c r="C14" s="159">
        <f t="shared" ref="C14:S14" si="9">RANK(C2,C$2:C$7,C$9)</f>
        <v>4</v>
      </c>
      <c r="D14" s="159">
        <f t="shared" si="9"/>
        <v>4</v>
      </c>
      <c r="E14" s="159">
        <f t="shared" si="9"/>
        <v>4</v>
      </c>
      <c r="F14" s="159">
        <f t="shared" si="9"/>
        <v>4</v>
      </c>
      <c r="G14" s="159">
        <f t="shared" si="9"/>
        <v>4</v>
      </c>
      <c r="H14" s="159">
        <f t="shared" si="9"/>
        <v>3</v>
      </c>
      <c r="I14" s="159">
        <f t="shared" si="9"/>
        <v>1</v>
      </c>
      <c r="J14" s="159">
        <f t="shared" si="9"/>
        <v>2</v>
      </c>
      <c r="K14" s="159">
        <f t="shared" si="9"/>
        <v>3</v>
      </c>
      <c r="L14" s="159">
        <f t="shared" si="9"/>
        <v>2</v>
      </c>
      <c r="M14" s="159">
        <f t="shared" si="9"/>
        <v>4</v>
      </c>
      <c r="N14" s="159">
        <f t="shared" si="9"/>
        <v>3</v>
      </c>
      <c r="O14" s="159">
        <f t="shared" si="9"/>
        <v>6</v>
      </c>
      <c r="P14" s="159">
        <f t="shared" si="9"/>
        <v>4</v>
      </c>
      <c r="Q14" s="159">
        <f t="shared" si="9"/>
        <v>5</v>
      </c>
      <c r="R14" s="159">
        <f t="shared" si="9"/>
        <v>4</v>
      </c>
      <c r="S14" s="159">
        <f t="shared" si="9"/>
        <v>4</v>
      </c>
      <c r="T14">
        <f>SUM(B14:S14)</f>
        <v>65</v>
      </c>
    </row>
    <row r="15" spans="1:20" x14ac:dyDescent="0.3">
      <c r="A15" t="str">
        <f t="shared" ref="A15" si="10">A3</f>
        <v>Ausztria</v>
      </c>
      <c r="B15" s="159">
        <f t="shared" ref="B15:S15" si="11">RANK(B3,B$2:B$7,B$9)</f>
        <v>3</v>
      </c>
      <c r="C15" s="159">
        <f t="shared" si="11"/>
        <v>3</v>
      </c>
      <c r="D15" s="159">
        <f t="shared" si="11"/>
        <v>3</v>
      </c>
      <c r="E15" s="159">
        <f t="shared" si="11"/>
        <v>3</v>
      </c>
      <c r="F15" s="159">
        <f t="shared" si="11"/>
        <v>3</v>
      </c>
      <c r="G15" s="159">
        <f t="shared" si="11"/>
        <v>2</v>
      </c>
      <c r="H15" s="159">
        <f t="shared" si="11"/>
        <v>4</v>
      </c>
      <c r="I15" s="159">
        <f t="shared" si="11"/>
        <v>5</v>
      </c>
      <c r="J15" s="159">
        <f t="shared" si="11"/>
        <v>5</v>
      </c>
      <c r="K15" s="159">
        <f t="shared" si="11"/>
        <v>4</v>
      </c>
      <c r="L15" s="159">
        <f t="shared" si="11"/>
        <v>5</v>
      </c>
      <c r="M15" s="159">
        <f t="shared" si="11"/>
        <v>6</v>
      </c>
      <c r="N15" s="159">
        <f t="shared" si="11"/>
        <v>4</v>
      </c>
      <c r="O15" s="159">
        <f t="shared" si="11"/>
        <v>2</v>
      </c>
      <c r="P15" s="159">
        <f t="shared" si="11"/>
        <v>6</v>
      </c>
      <c r="Q15" s="159">
        <f t="shared" si="11"/>
        <v>2</v>
      </c>
      <c r="R15" s="159">
        <f t="shared" si="11"/>
        <v>1</v>
      </c>
      <c r="S15" s="159">
        <f t="shared" si="11"/>
        <v>2</v>
      </c>
      <c r="T15">
        <f t="shared" ref="T15:T19" si="12">SUM(B15:S15)</f>
        <v>63</v>
      </c>
    </row>
    <row r="16" spans="1:20" x14ac:dyDescent="0.3">
      <c r="A16" t="str">
        <f t="shared" ref="A16" si="13">A4</f>
        <v>Románia</v>
      </c>
      <c r="B16" s="159">
        <f t="shared" ref="B16:S16" si="14">RANK(B4,B$2:B$7,B$9)</f>
        <v>5</v>
      </c>
      <c r="C16" s="159">
        <f t="shared" si="14"/>
        <v>5</v>
      </c>
      <c r="D16" s="159">
        <f t="shared" si="14"/>
        <v>5</v>
      </c>
      <c r="E16" s="159">
        <f t="shared" si="14"/>
        <v>5</v>
      </c>
      <c r="F16" s="159">
        <f t="shared" si="14"/>
        <v>5</v>
      </c>
      <c r="G16" s="159">
        <f t="shared" si="14"/>
        <v>4</v>
      </c>
      <c r="H16" s="159">
        <f t="shared" si="14"/>
        <v>5</v>
      </c>
      <c r="I16" s="159">
        <f t="shared" si="14"/>
        <v>6</v>
      </c>
      <c r="J16" s="159">
        <f t="shared" si="14"/>
        <v>4</v>
      </c>
      <c r="K16" s="159">
        <f t="shared" si="14"/>
        <v>2</v>
      </c>
      <c r="L16" s="159">
        <f t="shared" si="14"/>
        <v>4</v>
      </c>
      <c r="M16" s="159">
        <f t="shared" si="14"/>
        <v>2</v>
      </c>
      <c r="N16" s="159">
        <f t="shared" si="14"/>
        <v>5</v>
      </c>
      <c r="O16" s="159">
        <f t="shared" si="14"/>
        <v>5</v>
      </c>
      <c r="P16" s="159">
        <f t="shared" si="14"/>
        <v>3</v>
      </c>
      <c r="Q16" s="159">
        <f t="shared" si="14"/>
        <v>3</v>
      </c>
      <c r="R16" s="159">
        <f t="shared" si="14"/>
        <v>5</v>
      </c>
      <c r="S16" s="159">
        <f t="shared" si="14"/>
        <v>5</v>
      </c>
      <c r="T16">
        <f t="shared" si="12"/>
        <v>78</v>
      </c>
    </row>
    <row r="17" spans="1:20" x14ac:dyDescent="0.3">
      <c r="A17" t="str">
        <f t="shared" ref="A17" si="15">A5</f>
        <v>Szlovákia</v>
      </c>
      <c r="B17" s="159">
        <f t="shared" ref="B17:S17" si="16">RANK(B5,B$2:B$7,B$9)</f>
        <v>2</v>
      </c>
      <c r="C17" s="159">
        <f t="shared" si="16"/>
        <v>2</v>
      </c>
      <c r="D17" s="159">
        <f t="shared" si="16"/>
        <v>2</v>
      </c>
      <c r="E17" s="159">
        <f t="shared" si="16"/>
        <v>2</v>
      </c>
      <c r="F17" s="159">
        <f t="shared" si="16"/>
        <v>2</v>
      </c>
      <c r="G17" s="159">
        <f t="shared" si="16"/>
        <v>2</v>
      </c>
      <c r="H17" s="159">
        <f t="shared" si="16"/>
        <v>2</v>
      </c>
      <c r="I17" s="159">
        <f t="shared" si="16"/>
        <v>2</v>
      </c>
      <c r="J17" s="159">
        <f t="shared" si="16"/>
        <v>1</v>
      </c>
      <c r="K17" s="159">
        <f t="shared" si="16"/>
        <v>1</v>
      </c>
      <c r="L17" s="159">
        <f t="shared" si="16"/>
        <v>1</v>
      </c>
      <c r="M17" s="159">
        <f t="shared" si="16"/>
        <v>1</v>
      </c>
      <c r="N17" s="159">
        <f t="shared" si="16"/>
        <v>1</v>
      </c>
      <c r="O17" s="159">
        <f t="shared" si="16"/>
        <v>3</v>
      </c>
      <c r="P17" s="159">
        <f t="shared" si="16"/>
        <v>1</v>
      </c>
      <c r="Q17" s="159">
        <f t="shared" si="16"/>
        <v>4</v>
      </c>
      <c r="R17" s="159">
        <f t="shared" si="16"/>
        <v>6</v>
      </c>
      <c r="S17" s="159">
        <f t="shared" si="16"/>
        <v>6</v>
      </c>
      <c r="T17">
        <f t="shared" si="12"/>
        <v>41</v>
      </c>
    </row>
    <row r="18" spans="1:20" x14ac:dyDescent="0.3">
      <c r="A18" t="str">
        <f t="shared" ref="A18" si="17">A6</f>
        <v>Szlovénia</v>
      </c>
      <c r="B18" s="159">
        <f t="shared" ref="B18:S18" si="18">RANK(B6,B$2:B$7,B$9)</f>
        <v>1</v>
      </c>
      <c r="C18" s="159">
        <f t="shared" si="18"/>
        <v>1</v>
      </c>
      <c r="D18" s="159">
        <f t="shared" si="18"/>
        <v>1</v>
      </c>
      <c r="E18" s="159">
        <f t="shared" si="18"/>
        <v>1</v>
      </c>
      <c r="F18" s="159">
        <f t="shared" si="18"/>
        <v>1</v>
      </c>
      <c r="G18" s="159">
        <f t="shared" si="18"/>
        <v>1</v>
      </c>
      <c r="H18" s="159">
        <f t="shared" si="18"/>
        <v>1</v>
      </c>
      <c r="I18" s="159">
        <f t="shared" si="18"/>
        <v>3</v>
      </c>
      <c r="J18" s="159">
        <f t="shared" si="18"/>
        <v>3</v>
      </c>
      <c r="K18" s="159">
        <f t="shared" si="18"/>
        <v>5</v>
      </c>
      <c r="L18" s="159">
        <f t="shared" si="18"/>
        <v>3</v>
      </c>
      <c r="M18" s="159">
        <f t="shared" si="18"/>
        <v>5</v>
      </c>
      <c r="N18" s="159">
        <f t="shared" si="18"/>
        <v>2</v>
      </c>
      <c r="O18" s="159">
        <f t="shared" si="18"/>
        <v>4</v>
      </c>
      <c r="P18" s="159">
        <f t="shared" si="18"/>
        <v>5</v>
      </c>
      <c r="Q18" s="159">
        <f t="shared" si="18"/>
        <v>6</v>
      </c>
      <c r="R18" s="159">
        <f t="shared" si="18"/>
        <v>3</v>
      </c>
      <c r="S18" s="159">
        <f t="shared" si="18"/>
        <v>3</v>
      </c>
      <c r="T18">
        <f t="shared" si="12"/>
        <v>49</v>
      </c>
    </row>
    <row r="19" spans="1:20" x14ac:dyDescent="0.3">
      <c r="A19" t="str">
        <f t="shared" ref="A19" si="19">A7</f>
        <v>Németország</v>
      </c>
      <c r="B19" s="159">
        <f t="shared" ref="B19:S19" si="20">RANK(B7,B$2:B$7,B$9)</f>
        <v>6</v>
      </c>
      <c r="C19" s="159">
        <f t="shared" si="20"/>
        <v>6</v>
      </c>
      <c r="D19" s="159">
        <f t="shared" si="20"/>
        <v>6</v>
      </c>
      <c r="E19" s="159">
        <f t="shared" si="20"/>
        <v>6</v>
      </c>
      <c r="F19" s="159">
        <f t="shared" si="20"/>
        <v>6</v>
      </c>
      <c r="G19" s="159">
        <f t="shared" si="20"/>
        <v>6</v>
      </c>
      <c r="H19" s="159">
        <f t="shared" si="20"/>
        <v>6</v>
      </c>
      <c r="I19" s="159">
        <f t="shared" si="20"/>
        <v>4</v>
      </c>
      <c r="J19" s="159">
        <f t="shared" si="20"/>
        <v>6</v>
      </c>
      <c r="K19" s="159">
        <f t="shared" si="20"/>
        <v>6</v>
      </c>
      <c r="L19" s="159">
        <f t="shared" si="20"/>
        <v>6</v>
      </c>
      <c r="M19" s="159">
        <f t="shared" si="20"/>
        <v>3</v>
      </c>
      <c r="N19" s="159">
        <f t="shared" si="20"/>
        <v>6</v>
      </c>
      <c r="O19" s="159">
        <f t="shared" si="20"/>
        <v>1</v>
      </c>
      <c r="P19" s="159">
        <f t="shared" si="20"/>
        <v>2</v>
      </c>
      <c r="Q19" s="159">
        <f t="shared" si="20"/>
        <v>1</v>
      </c>
      <c r="R19" s="159">
        <f t="shared" si="20"/>
        <v>2</v>
      </c>
      <c r="S19" s="159">
        <f t="shared" si="20"/>
        <v>1</v>
      </c>
      <c r="T19">
        <f t="shared" si="12"/>
        <v>80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9"/>
  <sheetViews>
    <sheetView zoomScale="48" workbookViewId="0"/>
  </sheetViews>
  <sheetFormatPr defaultRowHeight="14.4" x14ac:dyDescent="0.3"/>
  <cols>
    <col min="1" max="1" width="42.44140625" bestFit="1" customWidth="1"/>
    <col min="2" max="2" width="40.5546875" bestFit="1" customWidth="1"/>
    <col min="3" max="3" width="54.5546875" bestFit="1" customWidth="1"/>
    <col min="4" max="4" width="49.6640625" bestFit="1" customWidth="1"/>
    <col min="5" max="5" width="40.88671875" bestFit="1" customWidth="1"/>
    <col min="6" max="6" width="30.21875" bestFit="1" customWidth="1"/>
    <col min="7" max="7" width="41.44140625" bestFit="1" customWidth="1"/>
    <col min="8" max="8" width="11.33203125" bestFit="1" customWidth="1"/>
    <col min="9" max="9" width="15.5546875" bestFit="1" customWidth="1"/>
  </cols>
  <sheetData>
    <row r="1" spans="1:9" ht="18.600000000000001" thickBot="1" x14ac:dyDescent="0.4">
      <c r="A1" s="37" t="str">
        <f>'Országok mutatói'!A1</f>
        <v>Ország</v>
      </c>
      <c r="B1" s="38" t="s">
        <v>137</v>
      </c>
      <c r="C1" s="38" t="s">
        <v>138</v>
      </c>
      <c r="D1" s="38" t="s">
        <v>139</v>
      </c>
      <c r="E1" s="38" t="s">
        <v>140</v>
      </c>
      <c r="F1" s="38" t="s">
        <v>141</v>
      </c>
      <c r="G1" s="39" t="s">
        <v>142</v>
      </c>
    </row>
    <row r="2" spans="1:9" x14ac:dyDescent="0.3">
      <c r="A2" s="118" t="str">
        <f>'Országok mutatói'!A2</f>
        <v>Magyarország</v>
      </c>
      <c r="B2" s="161">
        <f>'Országok mutatói'!H2/'Országok mutatói'!B2*100</f>
        <v>26.905299365795983</v>
      </c>
      <c r="C2" s="162">
        <f>('Országok mutatói'!C2+'Országok mutatói'!D2)/'Országok mutatói'!B2*100</f>
        <v>53.746103407502957</v>
      </c>
      <c r="D2" s="162">
        <f>'Országok mutatói'!H2/'Országok mutatói'!L2</f>
        <v>9.7241647241647247</v>
      </c>
      <c r="E2" s="162">
        <f>'Országok mutatói'!L2 / 'Országok mutatói'!J2 * 100</f>
        <v>55.920052139908762</v>
      </c>
      <c r="F2" s="162">
        <f>'Országok mutatói'!N2 / 'Országok mutatói'!L2 * 100</f>
        <v>45.765345765345764</v>
      </c>
      <c r="G2" s="163">
        <f>'Országok mutatói'!K2 / 'Országok mutatói'!J2 * 100</f>
        <v>0.67347382142081247</v>
      </c>
    </row>
    <row r="3" spans="1:9" x14ac:dyDescent="0.3">
      <c r="A3" s="119" t="str">
        <f>'Országok mutatói'!A3</f>
        <v>Ausztria</v>
      </c>
      <c r="B3" s="164">
        <f>'Országok mutatói'!H3/'Országok mutatói'!B3*100</f>
        <v>43.966904707972198</v>
      </c>
      <c r="C3" s="165">
        <f>('Országok mutatói'!C3+'Országok mutatói'!D3)/'Országok mutatói'!B3*100</f>
        <v>41.726773089807942</v>
      </c>
      <c r="D3" s="165">
        <f>'Országok mutatói'!H3/'Országok mutatói'!L3</f>
        <v>0.49710195718984201</v>
      </c>
      <c r="E3" s="165">
        <f>'Országok mutatói'!L3 / 'Országok mutatói'!J3 * 100</f>
        <v>142.72961637615916</v>
      </c>
      <c r="F3" s="165">
        <f>'Országok mutatói'!N3 / 'Országok mutatói'!L3 * 100</f>
        <v>2.7956003666361138</v>
      </c>
      <c r="G3" s="166">
        <f>'Országok mutatói'!K3 / 'Országok mutatói'!J3 * 100</f>
        <v>8.4651198584016318E-2</v>
      </c>
    </row>
    <row r="4" spans="1:9" x14ac:dyDescent="0.3">
      <c r="A4" s="119" t="str">
        <f>'Országok mutatói'!A4</f>
        <v>Románia</v>
      </c>
      <c r="B4" s="164">
        <f>'Országok mutatói'!H4/'Országok mutatói'!B4*100</f>
        <v>48.824859373230368</v>
      </c>
      <c r="C4" s="165">
        <f>('Országok mutatói'!C4+'Országok mutatói'!D4)/'Országok mutatói'!B4*100</f>
        <v>41.946836579319367</v>
      </c>
      <c r="D4" s="165">
        <f>'Országok mutatói'!H4/'Országok mutatói'!L4</f>
        <v>19.338262169795648</v>
      </c>
      <c r="E4" s="165">
        <f>'Országok mutatói'!L4 / 'Országok mutatói'!J4 * 100</f>
        <v>40.917743031951055</v>
      </c>
      <c r="F4" s="165">
        <f>'Országok mutatói'!N4 / 'Országok mutatói'!L4 * 100</f>
        <v>49.343744808107658</v>
      </c>
      <c r="G4" s="166">
        <f>'Országok mutatói'!K4 / 'Országok mutatói'!J4 * 100</f>
        <v>0.14276002719238612</v>
      </c>
    </row>
    <row r="5" spans="1:9" x14ac:dyDescent="0.3">
      <c r="A5" s="119" t="str">
        <f>'Országok mutatói'!A5</f>
        <v>Szlovákia</v>
      </c>
      <c r="B5" s="164">
        <f>'Országok mutatói'!H5/'Országok mutatói'!B5*100</f>
        <v>30.661772203528091</v>
      </c>
      <c r="C5" s="165">
        <f>('Országok mutatói'!C5+'Országok mutatói'!D5)/'Országok mutatói'!B5*100</f>
        <v>50.983991026817577</v>
      </c>
      <c r="D5" s="165">
        <f>'Országok mutatói'!H5/'Országok mutatói'!L5</f>
        <v>242.5</v>
      </c>
      <c r="E5" s="165">
        <f>'Országok mutatói'!L5 / 'Országok mutatói'!J5 * 100</f>
        <v>7.2261072261072261</v>
      </c>
      <c r="F5" s="165">
        <f>'Országok mutatói'!N5 / 'Országok mutatói'!L5 * 100</f>
        <v>61.29032258064516</v>
      </c>
      <c r="G5" s="166">
        <f>'Országok mutatói'!K5 / 'Országok mutatói'!J5 * 100</f>
        <v>0.58275058275058278</v>
      </c>
    </row>
    <row r="6" spans="1:9" x14ac:dyDescent="0.3">
      <c r="A6" s="119" t="str">
        <f>'Országok mutatói'!A6</f>
        <v>Szlovénia</v>
      </c>
      <c r="B6" s="164">
        <f>'Országok mutatói'!H6/'Országok mutatói'!B6*100</f>
        <v>30.942633058748086</v>
      </c>
      <c r="C6" s="165">
        <f>('Országok mutatói'!C6+'Országok mutatói'!D6)/'Országok mutatói'!B6*100</f>
        <v>49.32669067232279</v>
      </c>
      <c r="D6" s="165">
        <f>'Országok mutatói'!H6/'Országok mutatói'!L6</f>
        <v>1.2500996412913512</v>
      </c>
      <c r="E6" s="165">
        <f>'Országok mutatói'!L6 / 'Országok mutatói'!J6 * 100</f>
        <v>87.072705188269993</v>
      </c>
      <c r="F6" s="165">
        <f>'Országok mutatói'!N6 / 'Országok mutatói'!L6 * 100</f>
        <v>8.6887206058190518</v>
      </c>
      <c r="G6" s="166">
        <f>'Országok mutatói'!K6 / 'Országok mutatói'!J6 * 100</f>
        <v>1.1105327086586847</v>
      </c>
    </row>
    <row r="7" spans="1:9" ht="15" thickBot="1" x14ac:dyDescent="0.35">
      <c r="A7" s="120" t="str">
        <f>'Országok mutatói'!A7</f>
        <v>Németország</v>
      </c>
      <c r="B7" s="167">
        <f>'Országok mutatói'!H7/'Országok mutatói'!B7*100</f>
        <v>32.84571863475346</v>
      </c>
      <c r="C7" s="168">
        <f>('Országok mutatói'!C7+'Országok mutatói'!D7)/'Országok mutatói'!B7*100</f>
        <v>50.3657110239349</v>
      </c>
      <c r="D7" s="168">
        <f>'Országok mutatói'!H7/'Országok mutatói'!L7</f>
        <v>0.36118769230769232</v>
      </c>
      <c r="E7" s="168">
        <f>'Országok mutatói'!L7 / 'Országok mutatói'!J7 * 100</f>
        <v>46.829971181556196</v>
      </c>
      <c r="F7" s="168">
        <f>'Országok mutatói'!N7 / 'Országok mutatói'!L7 * 100</f>
        <v>6.6461538461538456</v>
      </c>
      <c r="G7" s="169">
        <f>'Országok mutatói'!K7 / 'Országok mutatói'!J7 * 100</f>
        <v>4.1642651296829966E-2</v>
      </c>
    </row>
    <row r="10" spans="1:9" ht="15" thickBot="1" x14ac:dyDescent="0.35"/>
    <row r="11" spans="1:9" ht="45.75" customHeight="1" thickBot="1" x14ac:dyDescent="0.35">
      <c r="A11" s="179" t="s">
        <v>143</v>
      </c>
      <c r="B11" s="180"/>
    </row>
    <row r="12" spans="1:9" ht="18.600000000000001" thickBot="1" x14ac:dyDescent="0.4">
      <c r="A12" s="37" t="s">
        <v>44</v>
      </c>
      <c r="B12" s="38" t="s">
        <v>149</v>
      </c>
      <c r="C12" s="38" t="s">
        <v>151</v>
      </c>
      <c r="D12" s="38" t="str">
        <f ca="1">INDIRECT("'Országok mutatói'!A" &amp; COLUMN(B$1))</f>
        <v>Magyarország</v>
      </c>
      <c r="E12" s="38" t="str">
        <f t="shared" ref="E12:G12" ca="1" si="0">INDIRECT("'Országok mutatói'!A" &amp; COLUMN(C$1))</f>
        <v>Ausztria</v>
      </c>
      <c r="F12" s="38" t="str">
        <f t="shared" ca="1" si="0"/>
        <v>Románia</v>
      </c>
      <c r="G12" s="38" t="str">
        <f t="shared" ca="1" si="0"/>
        <v>Szlovákia</v>
      </c>
      <c r="H12" s="38" t="str">
        <f ca="1">INDIRECT("'Országok mutatói'!A" &amp; COLUMN(F$1))</f>
        <v>Szlovénia</v>
      </c>
      <c r="I12" s="39" t="str">
        <f ca="1">INDIRECT("'Országok mutatói'!A" &amp; COLUMN(G$1))</f>
        <v>Németország</v>
      </c>
    </row>
    <row r="13" spans="1:9" x14ac:dyDescent="0.3">
      <c r="A13" s="118" t="str">
        <f ca="1">INDIRECT("'Iránykód'!" &amp; ADDRESS(1, ROW(A2)))</f>
        <v>Szabad terület / Teljes terület (%)</v>
      </c>
      <c r="B13" s="114" t="s">
        <v>144</v>
      </c>
      <c r="C13" s="170">
        <f>AVERAGE(B2:B7)</f>
        <v>35.691197890671368</v>
      </c>
      <c r="D13" s="112">
        <f>IF(B2&lt;$C13,1,0)</f>
        <v>1</v>
      </c>
      <c r="E13" s="112">
        <f>IF(B3&lt;C13,1,0)</f>
        <v>0</v>
      </c>
      <c r="F13" s="112">
        <f>IF(B4&lt;C13,1,0)</f>
        <v>0</v>
      </c>
      <c r="G13" s="112">
        <f>IF(B5&lt;C13,1,0)</f>
        <v>1</v>
      </c>
      <c r="H13" s="112">
        <f>IF(B6&lt;C13,1,0)</f>
        <v>1</v>
      </c>
      <c r="I13" s="113">
        <f>IF(B7&lt;C13,1,0)</f>
        <v>1</v>
      </c>
    </row>
    <row r="14" spans="1:9" x14ac:dyDescent="0.3">
      <c r="A14" s="119" t="str">
        <f t="shared" ref="A14:A18" ca="1" si="1">INDIRECT("'Iránykód'!" &amp; ADDRESS(1, ROW(A3)))</f>
        <v>Tiltott + korlátorzott terület / Teljes terület (%)</v>
      </c>
      <c r="B14" s="115" t="s">
        <v>145</v>
      </c>
      <c r="C14" s="171">
        <f t="shared" ref="C14:C18" si="2">AVERAGE(B3:B8)</f>
        <v>37.448377595646441</v>
      </c>
      <c r="D14" s="108">
        <f>IF(C2&lt;$C14,1,0)</f>
        <v>0</v>
      </c>
      <c r="E14" s="108">
        <f>IF(C3&lt;C14,1,0)</f>
        <v>0</v>
      </c>
      <c r="F14" s="108">
        <f>IF(C4&lt;C14,1,0)</f>
        <v>0</v>
      </c>
      <c r="G14" s="108">
        <f>IF(C5&lt;C14,1,0)</f>
        <v>0</v>
      </c>
      <c r="H14" s="108">
        <f>IF(C6&lt;C14,1,0)</f>
        <v>0</v>
      </c>
      <c r="I14" s="109">
        <f>IF(C7&lt;C14,1,0)</f>
        <v>0</v>
      </c>
    </row>
    <row r="15" spans="1:9" ht="21" customHeight="1" x14ac:dyDescent="0.3">
      <c r="A15" s="119" t="str">
        <f t="shared" ca="1" si="1"/>
        <v>Szabad terület / A1-A3 pilóta (km2)/pilota)</v>
      </c>
      <c r="B15" s="116" t="s">
        <v>144</v>
      </c>
      <c r="C15" s="171">
        <f t="shared" si="2"/>
        <v>35.818745817565002</v>
      </c>
      <c r="D15" s="108">
        <f>IF(D2&lt;$C15,1,0)</f>
        <v>1</v>
      </c>
      <c r="E15" s="108">
        <f>IF(D3&lt;C15,1,0)</f>
        <v>1</v>
      </c>
      <c r="F15" s="108">
        <f>IF(D4&lt;C15,1,0)</f>
        <v>1</v>
      </c>
      <c r="G15" s="108">
        <f>IF(D5&lt;C15,1,0)</f>
        <v>0</v>
      </c>
      <c r="H15" s="108">
        <f>IF(D6&lt;C15,1,0)</f>
        <v>1</v>
      </c>
      <c r="I15" s="109">
        <f>IF(D7&lt;C15,1,0)</f>
        <v>1</v>
      </c>
    </row>
    <row r="16" spans="1:9" ht="19.5" customHeight="1" x14ac:dyDescent="0.3">
      <c r="A16" s="119" t="str">
        <f t="shared" ca="1" si="1"/>
        <v>A1-A3 tanúsítvány / Üzemeltető(%)</v>
      </c>
      <c r="B16" s="116" t="s">
        <v>147</v>
      </c>
      <c r="C16" s="171">
        <f t="shared" si="2"/>
        <v>31.483374632343214</v>
      </c>
      <c r="D16" s="108">
        <f>IF(E2&lt;$C16,1,0)</f>
        <v>0</v>
      </c>
      <c r="E16" s="108">
        <f>IF(E3&lt;C16,1,0)</f>
        <v>0</v>
      </c>
      <c r="F16" s="108">
        <f>IF(E4&lt;C16,1,0)</f>
        <v>0</v>
      </c>
      <c r="G16" s="108">
        <f>IF(E5&lt;C16,1,0)</f>
        <v>1</v>
      </c>
      <c r="H16" s="108">
        <f>IF(E6&lt;C16,1,0)</f>
        <v>0</v>
      </c>
      <c r="I16" s="109">
        <f>IF(E7&lt;C16,1,0)</f>
        <v>0</v>
      </c>
    </row>
    <row r="17" spans="1:9" x14ac:dyDescent="0.3">
      <c r="A17" s="119" t="str">
        <f t="shared" ca="1" si="1"/>
        <v>A2/A1-A3 tanusítvány (%)</v>
      </c>
      <c r="B17" s="115" t="s">
        <v>146</v>
      </c>
      <c r="C17" s="171">
        <f t="shared" si="2"/>
        <v>31.894175846750773</v>
      </c>
      <c r="D17" s="108">
        <f>IF(F2&lt;$C17,1,0)</f>
        <v>0</v>
      </c>
      <c r="E17" s="108">
        <f>IF(F3&lt;C17,1,0)</f>
        <v>1</v>
      </c>
      <c r="F17" s="108">
        <f>IF(F4&lt;C17,1,0)</f>
        <v>0</v>
      </c>
      <c r="G17" s="108">
        <f>IF(F5&lt;C17,1,0)</f>
        <v>0</v>
      </c>
      <c r="H17" s="108">
        <f>IF(F6&lt;C17,1,0)</f>
        <v>1</v>
      </c>
      <c r="I17" s="109">
        <f>IF(F7&lt;C17,1,0)</f>
        <v>1</v>
      </c>
    </row>
    <row r="18" spans="1:9" ht="15" thickBot="1" x14ac:dyDescent="0.35">
      <c r="A18" s="120" t="str">
        <f t="shared" ca="1" si="1"/>
        <v>Operatív engedély / Üzemeltető (%)</v>
      </c>
      <c r="B18" s="117" t="s">
        <v>148</v>
      </c>
      <c r="C18" s="172">
        <f t="shared" si="2"/>
        <v>32.84571863475346</v>
      </c>
      <c r="D18" s="110">
        <f>IF(G2&lt;C18,1,0)</f>
        <v>1</v>
      </c>
      <c r="E18" s="110">
        <f>IF(G3&lt;C18,1,0)</f>
        <v>1</v>
      </c>
      <c r="F18" s="110">
        <f>IF(G4&lt;C18,1,0)</f>
        <v>1</v>
      </c>
      <c r="G18" s="110">
        <f>IF(G5&lt;C18,1,0)</f>
        <v>1</v>
      </c>
      <c r="H18" s="110">
        <f>IF(G6&lt;C18,1,0)</f>
        <v>1</v>
      </c>
      <c r="I18" s="111">
        <f>IF(G7&lt;C18,1,0)</f>
        <v>1</v>
      </c>
    </row>
    <row r="19" spans="1:9" ht="16.2" thickBot="1" x14ac:dyDescent="0.35">
      <c r="C19" s="121" t="s">
        <v>150</v>
      </c>
      <c r="D19" s="122">
        <f>SUM(D13:D18)</f>
        <v>3</v>
      </c>
      <c r="E19" s="122">
        <f>SUM(E13:E18)</f>
        <v>3</v>
      </c>
      <c r="F19" s="122">
        <f t="shared" ref="F19:I19" si="3">SUM(F13:F18)</f>
        <v>2</v>
      </c>
      <c r="G19" s="122">
        <f t="shared" si="3"/>
        <v>3</v>
      </c>
      <c r="H19" s="122">
        <f t="shared" si="3"/>
        <v>4</v>
      </c>
      <c r="I19" s="123">
        <f t="shared" si="3"/>
        <v>4</v>
      </c>
    </row>
  </sheetData>
  <mergeCells count="1">
    <mergeCell ref="A11:B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71" workbookViewId="0"/>
  </sheetViews>
  <sheetFormatPr defaultRowHeight="14.4" x14ac:dyDescent="0.3"/>
  <cols>
    <col min="1" max="1" width="41.109375" bestFit="1" customWidth="1"/>
    <col min="2" max="2" width="18" bestFit="1" customWidth="1"/>
    <col min="3" max="3" width="27.5546875" customWidth="1"/>
    <col min="4" max="4" width="24.109375" customWidth="1"/>
    <col min="5" max="5" width="71.88671875" customWidth="1"/>
    <col min="6" max="6" width="9.109375" customWidth="1"/>
  </cols>
  <sheetData>
    <row r="1" spans="1:5" ht="42.75" customHeight="1" thickBot="1" x14ac:dyDescent="0.4">
      <c r="A1" s="34" t="s">
        <v>39</v>
      </c>
      <c r="B1" s="35" t="s">
        <v>48</v>
      </c>
      <c r="C1" s="104" t="s">
        <v>122</v>
      </c>
      <c r="D1" s="105" t="s">
        <v>123</v>
      </c>
      <c r="E1" s="36" t="s">
        <v>47</v>
      </c>
    </row>
    <row r="2" spans="1:5" ht="28.8" x14ac:dyDescent="0.3">
      <c r="A2" s="42" t="s">
        <v>13</v>
      </c>
      <c r="B2" s="31" t="s">
        <v>40</v>
      </c>
      <c r="C2" s="62">
        <f>IF(CORREL('Országok mutatói'!B2:B7, 'Országok mutatói'!$I$2:$I$7)&gt;=0, 0, 1)</f>
        <v>0</v>
      </c>
      <c r="D2" s="32">
        <f>IF('Országok mutatói'!B2 &lt; MEDIAN('Országok mutatói'!B2:B7), 0, 1)</f>
        <v>1</v>
      </c>
      <c r="E2" s="28" t="s">
        <v>124</v>
      </c>
    </row>
    <row r="3" spans="1:5" ht="28.8" x14ac:dyDescent="0.3">
      <c r="A3" s="43" t="s">
        <v>14</v>
      </c>
      <c r="B3" s="32" t="s">
        <v>40</v>
      </c>
      <c r="C3" s="32">
        <f>IF(CORREL('Országok mutatói'!C2:C7, 'Országok mutatói'!$I$2:$I$7)&gt;=0, 0, 1)</f>
        <v>0</v>
      </c>
      <c r="D3" s="32">
        <f>IF('Országok mutatói'!C2 &lt; MEDIAN('Országok mutatói'!C2:C7), 0, 1)</f>
        <v>1</v>
      </c>
      <c r="E3" s="29" t="s">
        <v>125</v>
      </c>
    </row>
    <row r="4" spans="1:5" ht="28.8" x14ac:dyDescent="0.3">
      <c r="A4" s="43" t="s">
        <v>15</v>
      </c>
      <c r="B4" s="32" t="s">
        <v>40</v>
      </c>
      <c r="C4" s="32">
        <f>IF(CORREL('Országok mutatói'!D2:D7, 'Országok mutatói'!$I$2:$I$7)&gt;=0, 0, 1)</f>
        <v>0</v>
      </c>
      <c r="D4" s="32">
        <f>IF('Országok mutatói'!D2 &lt; MEDIAN('Országok mutatói'!D2:D7), 0, 1)</f>
        <v>1</v>
      </c>
      <c r="E4" s="29" t="s">
        <v>126</v>
      </c>
    </row>
    <row r="5" spans="1:5" ht="28.8" x14ac:dyDescent="0.3">
      <c r="A5" s="43" t="s">
        <v>16</v>
      </c>
      <c r="B5" s="32" t="s">
        <v>40</v>
      </c>
      <c r="C5" s="32">
        <f>IF(CORREL('Országok mutatói'!E2:E7, 'Országok mutatói'!$I$2:$I$7)&gt;=0, 0, 1)</f>
        <v>1</v>
      </c>
      <c r="D5" s="32">
        <f>IF('Országok mutatói'!E2 &lt; MEDIAN('Országok mutatói'!E2:E7), 0, 1)</f>
        <v>1</v>
      </c>
      <c r="E5" s="29" t="s">
        <v>49</v>
      </c>
    </row>
    <row r="6" spans="1:5" x14ac:dyDescent="0.3">
      <c r="A6" s="43" t="s">
        <v>17</v>
      </c>
      <c r="B6" s="32" t="s">
        <v>40</v>
      </c>
      <c r="C6" s="32">
        <f>IF(CORREL('Országok mutatói'!F2:F7, 'Országok mutatói'!$I$2:$I$7)&gt;=0, 0, 1)</f>
        <v>0</v>
      </c>
      <c r="D6" s="32">
        <f>IF('Országok mutatói'!H1 &lt; MEDIAN('Országok mutatói'!H1:H6), 0, 1)</f>
        <v>1</v>
      </c>
      <c r="E6" s="29" t="s">
        <v>127</v>
      </c>
    </row>
    <row r="7" spans="1:5" x14ac:dyDescent="0.3">
      <c r="A7" s="43" t="s">
        <v>18</v>
      </c>
      <c r="B7" s="32" t="s">
        <v>40</v>
      </c>
      <c r="C7" s="32">
        <f>IF(CORREL('Országok mutatói'!G2:G7, 'Országok mutatói'!$I$2:$I$7)&gt;=0, 0, 1)</f>
        <v>1</v>
      </c>
      <c r="D7" s="32">
        <f>IF('Országok mutatói'!G2 &lt; MEDIAN('Országok mutatói'!G2:G7), 0, 1)</f>
        <v>1</v>
      </c>
      <c r="E7" s="29" t="s">
        <v>50</v>
      </c>
    </row>
    <row r="8" spans="1:5" x14ac:dyDescent="0.3">
      <c r="A8" s="43" t="s">
        <v>1</v>
      </c>
      <c r="B8" s="32" t="s">
        <v>40</v>
      </c>
      <c r="C8" s="32">
        <f>IF(CORREL('Országok mutatói'!H2:H7, 'Országok mutatói'!$I$2:$I$7)&gt;=0, 0, 1)</f>
        <v>0</v>
      </c>
      <c r="D8" s="32">
        <f>IF('Országok mutatói'!H2 &lt; MEDIAN('Országok mutatói'!H2:H6), 0, 1)</f>
        <v>1</v>
      </c>
      <c r="E8" s="29" t="s">
        <v>128</v>
      </c>
    </row>
    <row r="9" spans="1:5" ht="28.8" x14ac:dyDescent="0.3">
      <c r="A9" s="43" t="s">
        <v>2</v>
      </c>
      <c r="B9" s="32" t="s">
        <v>24</v>
      </c>
      <c r="C9" s="32">
        <f>IF(CORREL('Országok mutatói'!I2:I7, 'Országok mutatói'!$I$2:$I$7)&gt;=0, 0, 1)</f>
        <v>0</v>
      </c>
      <c r="D9" s="32">
        <f>IF('Országok mutatói'!I2 &lt; MEDIAN('Országok mutatói'!I2:I7), 0, 1)</f>
        <v>0</v>
      </c>
      <c r="E9" s="29" t="s">
        <v>129</v>
      </c>
    </row>
    <row r="10" spans="1:5" x14ac:dyDescent="0.3">
      <c r="A10" s="43" t="s">
        <v>3</v>
      </c>
      <c r="B10" s="32" t="s">
        <v>41</v>
      </c>
      <c r="C10" s="32">
        <f>IF(CORREL('Országok mutatói'!J2:J7, 'Országok mutatói'!$I$2:$I$7)&gt;=0, 0, 1)</f>
        <v>1</v>
      </c>
      <c r="D10" s="32">
        <f>IF('Országok mutatói'!J2 &lt; MEDIAN('Országok mutatói'!J2:J7), 0, 1)</f>
        <v>0</v>
      </c>
      <c r="E10" s="29" t="s">
        <v>51</v>
      </c>
    </row>
    <row r="11" spans="1:5" ht="28.8" x14ac:dyDescent="0.3">
      <c r="A11" s="43" t="s">
        <v>4</v>
      </c>
      <c r="B11" s="32" t="s">
        <v>42</v>
      </c>
      <c r="C11" s="32">
        <f>IF(CORREL('Országok mutatói'!K2:K7, 'Országok mutatói'!$I$2:$I$7)&gt;=0, 0, 1)</f>
        <v>1</v>
      </c>
      <c r="D11" s="32">
        <f>IF('Országok mutatói'!K2 &lt; MEDIAN('Országok mutatói'!K2:K7), 0, 1)</f>
        <v>0</v>
      </c>
      <c r="E11" s="29" t="s">
        <v>130</v>
      </c>
    </row>
    <row r="12" spans="1:5" x14ac:dyDescent="0.3">
      <c r="A12" s="43" t="s">
        <v>5</v>
      </c>
      <c r="B12" s="32" t="s">
        <v>42</v>
      </c>
      <c r="C12" s="32">
        <f>IF(CORREL('Országok mutatói'!L2:L7, 'Országok mutatói'!$I$2:$I$7)&gt;=0, 0, 1)</f>
        <v>1</v>
      </c>
      <c r="D12" s="32">
        <f>IF('Országok mutatói'!L2 &lt; MEDIAN('Országok mutatói'!L2:L7), 0, 1)</f>
        <v>0</v>
      </c>
      <c r="E12" s="29" t="s">
        <v>79</v>
      </c>
    </row>
    <row r="13" spans="1:5" ht="28.8" x14ac:dyDescent="0.3">
      <c r="A13" s="43" t="s">
        <v>20</v>
      </c>
      <c r="B13" s="32" t="s">
        <v>24</v>
      </c>
      <c r="C13" s="32">
        <f>IF(CORREL('Országok mutatói'!M2:M7, 'Országok mutatói'!$I$2:$I$7)&gt;=0, 0, 1)</f>
        <v>0</v>
      </c>
      <c r="D13" s="32">
        <f>IF('Országok mutatói'!M2 &lt; MEDIAN('Országok mutatói'!M2:M7), 0, 1)</f>
        <v>1</v>
      </c>
      <c r="E13" s="29" t="s">
        <v>131</v>
      </c>
    </row>
    <row r="14" spans="1:5" ht="28.8" x14ac:dyDescent="0.3">
      <c r="A14" s="43" t="s">
        <v>6</v>
      </c>
      <c r="B14" s="32" t="s">
        <v>42</v>
      </c>
      <c r="C14" s="32">
        <f>IF(CORREL('Országok mutatói'!N2:N7, 'Országok mutatói'!$I$2:$I$7)&gt;=0, 0, 1)</f>
        <v>1</v>
      </c>
      <c r="D14" s="32">
        <f>IF('Országok mutatói'!N2 &lt; MEDIAN('Országok mutatói'!N2:N7), 0, 1)</f>
        <v>0</v>
      </c>
      <c r="E14" s="29" t="s">
        <v>132</v>
      </c>
    </row>
    <row r="15" spans="1:5" x14ac:dyDescent="0.3">
      <c r="A15" s="43" t="s">
        <v>19</v>
      </c>
      <c r="B15" s="32" t="s">
        <v>24</v>
      </c>
      <c r="C15" s="32">
        <f>IF(CORREL('Országok mutatói'!O2:O7, 'Országok mutatói'!$I$2:$I$7)&gt;=0, 0, 1)</f>
        <v>0</v>
      </c>
      <c r="D15" s="32">
        <f>IF('Országok mutatói'!O2 &lt; MEDIAN('Országok mutatói'!O2:IO7), 0, 1)</f>
        <v>1</v>
      </c>
      <c r="E15" s="29" t="s">
        <v>80</v>
      </c>
    </row>
    <row r="16" spans="1:5" ht="28.8" x14ac:dyDescent="0.3">
      <c r="A16" s="43" t="s">
        <v>21</v>
      </c>
      <c r="B16" s="32" t="s">
        <v>42</v>
      </c>
      <c r="C16" s="32">
        <f>IF(CORREL('Országok mutatói'!P2:P7, 'Országok mutatói'!$I$2:$I$7)&gt;=0, 0, 1)</f>
        <v>0</v>
      </c>
      <c r="D16" s="32">
        <f>IF('Országok mutatói'!P2 &lt; MEDIAN('Országok mutatói'!P2:P7), 0, 1)</f>
        <v>1</v>
      </c>
      <c r="E16" s="29" t="s">
        <v>81</v>
      </c>
    </row>
    <row r="17" spans="1:5" x14ac:dyDescent="0.3">
      <c r="A17" s="43" t="s">
        <v>22</v>
      </c>
      <c r="B17" s="32" t="s">
        <v>24</v>
      </c>
      <c r="C17" s="32">
        <f>IF(CORREL('Országok mutatói'!Q2:Q7, 'Országok mutatói'!$I$2:$I$7)&gt;=0, 0, 1)</f>
        <v>1</v>
      </c>
      <c r="D17" s="32">
        <f>IF('Országok mutatói'!Q2 &lt; MEDIAN('Országok mutatói'!Q2:Q7), 0, 1)</f>
        <v>1</v>
      </c>
      <c r="E17" s="29" t="s">
        <v>133</v>
      </c>
    </row>
    <row r="18" spans="1:5" x14ac:dyDescent="0.3">
      <c r="A18" s="43" t="s">
        <v>23</v>
      </c>
      <c r="B18" s="32" t="s">
        <v>24</v>
      </c>
      <c r="C18" s="32">
        <f>IF(CORREL('Országok mutatói'!R2:R7, 'Országok mutatói'!$I$2:$I$7)&gt;=0, 0, 1)</f>
        <v>1</v>
      </c>
      <c r="D18" s="32">
        <f>IF('Országok mutatói'!R2 &lt; MEDIAN('Országok mutatói'!R2:R7), 0, 1)</f>
        <v>1</v>
      </c>
      <c r="E18" s="29" t="s">
        <v>134</v>
      </c>
    </row>
    <row r="19" spans="1:5" ht="29.4" thickBot="1" x14ac:dyDescent="0.35">
      <c r="A19" s="44" t="s">
        <v>26</v>
      </c>
      <c r="B19" s="33" t="s">
        <v>43</v>
      </c>
      <c r="C19" s="32">
        <f>IF(CORREL('Országok mutatói'!S2:S7, 'Országok mutatói'!$I$2:$I$7)&gt;=0, 0, 1)</f>
        <v>1</v>
      </c>
      <c r="D19" s="33">
        <f>IF('Országok mutatói'!S2 &lt; MEDIAN('Országok mutatói'!S2:S7), 0, 1)</f>
        <v>1</v>
      </c>
      <c r="E19" s="30" t="s">
        <v>135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5"/>
  <sheetViews>
    <sheetView zoomScale="35" zoomScaleNormal="73" workbookViewId="0"/>
  </sheetViews>
  <sheetFormatPr defaultRowHeight="14.4" x14ac:dyDescent="0.3"/>
  <cols>
    <col min="1" max="1" width="13.109375" bestFit="1" customWidth="1"/>
    <col min="2" max="2" width="26.5546875" customWidth="1"/>
    <col min="3" max="3" width="25.5546875" bestFit="1" customWidth="1"/>
    <col min="4" max="4" width="41.109375" customWidth="1"/>
    <col min="5" max="5" width="24" bestFit="1" customWidth="1"/>
    <col min="6" max="6" width="30" customWidth="1"/>
    <col min="7" max="7" width="41.33203125" bestFit="1" customWidth="1"/>
    <col min="8" max="8" width="32" customWidth="1"/>
    <col min="9" max="9" width="29.109375" customWidth="1"/>
    <col min="10" max="10" width="31.33203125" customWidth="1"/>
    <col min="11" max="12" width="18.44140625" bestFit="1" customWidth="1"/>
    <col min="13" max="13" width="20.44140625" bestFit="1" customWidth="1"/>
    <col min="14" max="14" width="18.44140625" bestFit="1" customWidth="1"/>
    <col min="15" max="15" width="18.5546875" bestFit="1" customWidth="1"/>
    <col min="16" max="16" width="34.33203125" customWidth="1"/>
    <col min="17" max="17" width="35.44140625" customWidth="1"/>
    <col min="18" max="18" width="39.5546875" customWidth="1"/>
    <col min="19" max="19" width="50.44140625" bestFit="1" customWidth="1"/>
    <col min="20" max="20" width="22.88671875" customWidth="1"/>
  </cols>
  <sheetData>
    <row r="1" spans="1:20" ht="90.6" thickBot="1" x14ac:dyDescent="0.35">
      <c r="A1" s="101" t="s">
        <v>0</v>
      </c>
      <c r="B1" s="102" t="s">
        <v>104</v>
      </c>
      <c r="C1" s="102" t="s">
        <v>105</v>
      </c>
      <c r="D1" s="102" t="s">
        <v>106</v>
      </c>
      <c r="E1" s="102" t="s">
        <v>107</v>
      </c>
      <c r="F1" s="102" t="s">
        <v>108</v>
      </c>
      <c r="G1" s="102" t="s">
        <v>109</v>
      </c>
      <c r="H1" s="102" t="s">
        <v>110</v>
      </c>
      <c r="I1" s="102" t="s">
        <v>111</v>
      </c>
      <c r="J1" s="102" t="s">
        <v>112</v>
      </c>
      <c r="K1" s="102" t="s">
        <v>113</v>
      </c>
      <c r="L1" s="102" t="s">
        <v>114</v>
      </c>
      <c r="M1" s="102" t="s">
        <v>115</v>
      </c>
      <c r="N1" s="102" t="s">
        <v>116</v>
      </c>
      <c r="O1" s="102" t="s">
        <v>117</v>
      </c>
      <c r="P1" s="102" t="s">
        <v>118</v>
      </c>
      <c r="Q1" s="102" t="s">
        <v>119</v>
      </c>
      <c r="R1" s="102" t="s">
        <v>120</v>
      </c>
      <c r="S1" s="103" t="s">
        <v>121</v>
      </c>
      <c r="T1" s="103" t="s">
        <v>136</v>
      </c>
    </row>
    <row r="2" spans="1:20" x14ac:dyDescent="0.3">
      <c r="A2" s="40" t="s">
        <v>7</v>
      </c>
      <c r="B2" s="21">
        <f>IF('Országok mutatói'!B2 &lt; MEDIAN('Országok mutatói'!B$2:B$7), 0, 1)</f>
        <v>1</v>
      </c>
      <c r="C2" s="21">
        <f>IF('Országok mutatói'!C2 &lt; MEDIAN('Országok mutatói'!C$2:C$7), 0, 1)</f>
        <v>1</v>
      </c>
      <c r="D2" s="21">
        <f>IF('Országok mutatói'!D2 &lt; MEDIAN('Országok mutatói'!D$2:D$7), 0, 1)</f>
        <v>1</v>
      </c>
      <c r="E2" s="21">
        <f>IF('Országok mutatói'!E2 &lt; MEDIAN('Országok mutatói'!E$2:E$7), 0, 1)</f>
        <v>1</v>
      </c>
      <c r="F2" s="21">
        <f>IF('Országok mutatói'!F2 &lt; MEDIAN('Országok mutatói'!F$2:F$7), 0, 1)</f>
        <v>1</v>
      </c>
      <c r="G2" s="21">
        <f>IF('Országok mutatói'!G2 &lt; MEDIAN('Országok mutatói'!G$2:G$7), 0, 1)</f>
        <v>1</v>
      </c>
      <c r="H2" s="21">
        <f>IF('Országok mutatói'!H2 &lt; MEDIAN('Országok mutatói'!H$2:H$7), 0, 1)</f>
        <v>0</v>
      </c>
      <c r="I2" s="21">
        <f>IF('Országok mutatói'!I2 &lt; MEDIAN('Országok mutatói'!I$2:I$7), 0, 1)</f>
        <v>0</v>
      </c>
      <c r="J2" s="21">
        <f>IF('Országok mutatói'!J2 &lt; MEDIAN('Országok mutatói'!J$2:J$7), 0, 1)</f>
        <v>0</v>
      </c>
      <c r="K2" s="21">
        <f>IF('Országok mutatói'!K2 &lt; MEDIAN('Országok mutatói'!K$2:K$7), 0, 1)</f>
        <v>0</v>
      </c>
      <c r="L2" s="21">
        <f>IF('Országok mutatói'!L2 &lt; MEDIAN('Országok mutatói'!L$2:L$7), 0, 1)</f>
        <v>0</v>
      </c>
      <c r="M2" s="21">
        <f>IF('Országok mutatói'!M2 &lt; MEDIAN('Országok mutatói'!M$2:M$7), 0, 1)</f>
        <v>1</v>
      </c>
      <c r="N2" s="21">
        <f>IF('Országok mutatói'!N2 &lt; MEDIAN('Országok mutatói'!N$2:N$7), 0, 1)</f>
        <v>0</v>
      </c>
      <c r="O2" s="21">
        <f>IF('Országok mutatói'!O2 &lt; MEDIAN('Országok mutatói'!O$2:O$7), 0, 1)</f>
        <v>1</v>
      </c>
      <c r="P2" s="21">
        <f>IF('Országok mutatói'!P2 &lt; MEDIAN('Országok mutatói'!P$2:P$7), 0, 1)</f>
        <v>1</v>
      </c>
      <c r="Q2" s="21">
        <f>IF('Országok mutatói'!Q2 &lt; MEDIAN('Országok mutatói'!Q$2:Q$7), 0, 1)</f>
        <v>1</v>
      </c>
      <c r="R2" s="21">
        <f>IF('Országok mutatói'!R2 &lt; MEDIAN('Országok mutatói'!R$2:R$7), 0, 1)</f>
        <v>1</v>
      </c>
      <c r="S2" s="106">
        <f>IF('Országok mutatói'!S2 &lt; MEDIAN('Országok mutatói'!S$2:S$7), 0, 1)</f>
        <v>1</v>
      </c>
      <c r="T2" s="107">
        <f>SUM(B2:S2)</f>
        <v>12</v>
      </c>
    </row>
    <row r="3" spans="1:20" x14ac:dyDescent="0.3">
      <c r="A3" s="8" t="s">
        <v>8</v>
      </c>
      <c r="B3" s="20">
        <f>IF('Országok mutatói'!B3 &lt; MEDIAN('Országok mutatói'!B$2:B$7), 0, 1)</f>
        <v>0</v>
      </c>
      <c r="C3" s="20">
        <f>IF('Országok mutatói'!C3 &lt; MEDIAN('Országok mutatói'!C$2:C$7), 0, 1)</f>
        <v>0</v>
      </c>
      <c r="D3" s="20">
        <f>IF('Országok mutatói'!D3 &lt; MEDIAN('Országok mutatói'!D$2:D$7), 0, 1)</f>
        <v>0</v>
      </c>
      <c r="E3" s="20">
        <f>IF('Országok mutatói'!E3 &lt; MEDIAN('Országok mutatói'!E$2:E$7), 0, 1)</f>
        <v>0</v>
      </c>
      <c r="F3" s="20">
        <f>IF('Országok mutatói'!F3 &lt; MEDIAN('Országok mutatói'!F$2:F$7), 0, 1)</f>
        <v>0</v>
      </c>
      <c r="G3" s="20">
        <f>IF('Országok mutatói'!G3 &lt; MEDIAN('Országok mutatói'!G$2:G$7), 0, 1)</f>
        <v>0</v>
      </c>
      <c r="H3" s="20">
        <f>IF('Országok mutatói'!H3 &lt; MEDIAN('Országok mutatói'!H$2:H$7), 0, 1)</f>
        <v>1</v>
      </c>
      <c r="I3" s="20">
        <f>IF('Országok mutatói'!I3 &lt; MEDIAN('Országok mutatói'!I$2:I$7), 0, 1)</f>
        <v>1</v>
      </c>
      <c r="J3" s="20">
        <f>IF('Országok mutatói'!J3 &lt; MEDIAN('Országok mutatói'!J$2:J$7), 0, 1)</f>
        <v>1</v>
      </c>
      <c r="K3" s="20">
        <f>IF('Országok mutatói'!K3 &lt; MEDIAN('Országok mutatói'!K$2:K$7), 0, 1)</f>
        <v>1</v>
      </c>
      <c r="L3" s="20">
        <f>IF('Országok mutatói'!L3 &lt; MEDIAN('Országok mutatói'!L$2:L$7), 0, 1)</f>
        <v>1</v>
      </c>
      <c r="M3" s="20">
        <f>IF('Országok mutatói'!M3 &lt; MEDIAN('Országok mutatói'!M$2:M$7), 0, 1)</f>
        <v>1</v>
      </c>
      <c r="N3" s="20">
        <f>IF('Országok mutatói'!N3 &lt; MEDIAN('Országok mutatói'!N$2:N$7), 0, 1)</f>
        <v>1</v>
      </c>
      <c r="O3" s="20">
        <f>IF('Országok mutatói'!O3 &lt; MEDIAN('Országok mutatói'!O$2:O$7), 0, 1)</f>
        <v>0</v>
      </c>
      <c r="P3" s="20">
        <f>IF('Országok mutatói'!P3 &lt; MEDIAN('Országok mutatói'!P$2:P$7), 0, 1)</f>
        <v>1</v>
      </c>
      <c r="Q3" s="20">
        <f>IF('Országok mutatói'!Q3 &lt; MEDIAN('Országok mutatói'!Q$2:Q$7), 0, 1)</f>
        <v>0</v>
      </c>
      <c r="R3" s="20">
        <f>IF('Országok mutatói'!R3 &lt; MEDIAN('Országok mutatói'!R$2:R$7), 0, 1)</f>
        <v>0</v>
      </c>
      <c r="S3" s="26">
        <f>IF('Országok mutatói'!S3 &lt; MEDIAN('Országok mutatói'!S$2:S$7), 0, 1)</f>
        <v>0</v>
      </c>
      <c r="T3" s="107">
        <f t="shared" ref="T3:T7" si="0">SUM(B3:S3)</f>
        <v>8</v>
      </c>
    </row>
    <row r="4" spans="1:20" x14ac:dyDescent="0.3">
      <c r="A4" s="8" t="s">
        <v>9</v>
      </c>
      <c r="B4" s="20">
        <f>IF('Országok mutatói'!B4 &lt; MEDIAN('Országok mutatói'!B$2:B$7), 0, 1)</f>
        <v>1</v>
      </c>
      <c r="C4" s="20">
        <f>IF('Országok mutatói'!C4 &lt; MEDIAN('Országok mutatói'!C$2:C$7), 0, 1)</f>
        <v>1</v>
      </c>
      <c r="D4" s="20">
        <f>IF('Országok mutatói'!D4 &lt; MEDIAN('Országok mutatói'!D$2:D$7), 0, 1)</f>
        <v>1</v>
      </c>
      <c r="E4" s="20">
        <f>IF('Országok mutatói'!E4 &lt; MEDIAN('Országok mutatói'!E$2:E$7), 0, 1)</f>
        <v>1</v>
      </c>
      <c r="F4" s="20">
        <f>IF('Országok mutatói'!F4 &lt; MEDIAN('Országok mutatói'!F$2:F$7), 0, 1)</f>
        <v>1</v>
      </c>
      <c r="G4" s="20">
        <f>IF('Országok mutatói'!G4 &lt; MEDIAN('Országok mutatói'!G$2:G$7), 0, 1)</f>
        <v>1</v>
      </c>
      <c r="H4" s="20">
        <f>IF('Országok mutatói'!H4 &lt; MEDIAN('Országok mutatói'!H$2:H$7), 0, 1)</f>
        <v>1</v>
      </c>
      <c r="I4" s="20">
        <f>IF('Országok mutatói'!I4 &lt; MEDIAN('Országok mutatói'!I$2:I$7), 0, 1)</f>
        <v>1</v>
      </c>
      <c r="J4" s="20">
        <f>IF('Országok mutatói'!J4 &lt; MEDIAN('Országok mutatói'!J$2:J$7), 0, 1)</f>
        <v>1</v>
      </c>
      <c r="K4" s="20">
        <f>IF('Országok mutatói'!K4 &lt; MEDIAN('Országok mutatói'!K$2:K$7), 0, 1)</f>
        <v>0</v>
      </c>
      <c r="L4" s="20">
        <f>IF('Országok mutatói'!L4 &lt; MEDIAN('Országok mutatói'!L$2:L$7), 0, 1)</f>
        <v>1</v>
      </c>
      <c r="M4" s="20">
        <f>IF('Országok mutatói'!M4 &lt; MEDIAN('Országok mutatói'!M$2:M$7), 0, 1)</f>
        <v>0</v>
      </c>
      <c r="N4" s="20">
        <f>IF('Országok mutatói'!N4 &lt; MEDIAN('Országok mutatói'!N$2:N$7), 0, 1)</f>
        <v>1</v>
      </c>
      <c r="O4" s="20">
        <f>IF('Országok mutatói'!O4 &lt; MEDIAN('Országok mutatói'!O$2:O$7), 0, 1)</f>
        <v>1</v>
      </c>
      <c r="P4" s="20">
        <f>IF('Országok mutatói'!P4 &lt; MEDIAN('Országok mutatói'!P$2:P$7), 0, 1)</f>
        <v>0</v>
      </c>
      <c r="Q4" s="20">
        <f>IF('Országok mutatói'!Q4 &lt; MEDIAN('Országok mutatói'!Q$2:Q$7), 0, 1)</f>
        <v>0</v>
      </c>
      <c r="R4" s="20">
        <f>IF('Országok mutatói'!R4 &lt; MEDIAN('Országok mutatói'!R$2:R$7), 0, 1)</f>
        <v>1</v>
      </c>
      <c r="S4" s="26">
        <f>IF('Országok mutatói'!S4 &lt; MEDIAN('Országok mutatói'!S$2:S$7), 0, 1)</f>
        <v>1</v>
      </c>
      <c r="T4" s="107">
        <f t="shared" si="0"/>
        <v>14</v>
      </c>
    </row>
    <row r="5" spans="1:20" x14ac:dyDescent="0.3">
      <c r="A5" s="8" t="s">
        <v>10</v>
      </c>
      <c r="B5" s="20">
        <f>IF('Országok mutatói'!B5 &lt; MEDIAN('Országok mutatói'!B$2:B$7), 0, 1)</f>
        <v>0</v>
      </c>
      <c r="C5" s="20">
        <f>IF('Országok mutatói'!C5 &lt; MEDIAN('Országok mutatói'!C$2:C$7), 0, 1)</f>
        <v>0</v>
      </c>
      <c r="D5" s="20">
        <f>IF('Országok mutatói'!D5 &lt; MEDIAN('Országok mutatói'!D$2:D$7), 0, 1)</f>
        <v>0</v>
      </c>
      <c r="E5" s="20">
        <f>IF('Országok mutatói'!E5 &lt; MEDIAN('Országok mutatói'!E$2:E$7), 0, 1)</f>
        <v>0</v>
      </c>
      <c r="F5" s="20">
        <f>IF('Országok mutatói'!F5 &lt; MEDIAN('Országok mutatói'!F$2:F$7), 0, 1)</f>
        <v>0</v>
      </c>
      <c r="G5" s="20">
        <f>IF('Országok mutatói'!G5 &lt; MEDIAN('Országok mutatói'!G$2:G$7), 0, 1)</f>
        <v>0</v>
      </c>
      <c r="H5" s="20">
        <f>IF('Országok mutatói'!H5 &lt; MEDIAN('Országok mutatói'!H$2:H$7), 0, 1)</f>
        <v>0</v>
      </c>
      <c r="I5" s="20">
        <f>IF('Országok mutatói'!I5 &lt; MEDIAN('Országok mutatói'!I$2:I$7), 0, 1)</f>
        <v>0</v>
      </c>
      <c r="J5" s="20">
        <f>IF('Országok mutatói'!J5 &lt; MEDIAN('Országok mutatói'!J$2:J$7), 0, 1)</f>
        <v>0</v>
      </c>
      <c r="K5" s="20">
        <f>IF('Országok mutatói'!K5 &lt; MEDIAN('Országok mutatói'!K$2:K$7), 0, 1)</f>
        <v>0</v>
      </c>
      <c r="L5" s="20">
        <f>IF('Országok mutatói'!L5 &lt; MEDIAN('Országok mutatói'!L$2:L$7), 0, 1)</f>
        <v>0</v>
      </c>
      <c r="M5" s="20">
        <f>IF('Országok mutatói'!M5 &lt; MEDIAN('Országok mutatói'!M$2:M$7), 0, 1)</f>
        <v>0</v>
      </c>
      <c r="N5" s="20">
        <f>IF('Országok mutatói'!N5 &lt; MEDIAN('Országok mutatói'!N$2:N$7), 0, 1)</f>
        <v>0</v>
      </c>
      <c r="O5" s="20">
        <f>IF('Országok mutatói'!O5 &lt; MEDIAN('Országok mutatói'!O$2:O$7), 0, 1)</f>
        <v>0</v>
      </c>
      <c r="P5" s="20">
        <f>IF('Országok mutatói'!P5 &lt; MEDIAN('Országok mutatói'!P$2:P$7), 0, 1)</f>
        <v>0</v>
      </c>
      <c r="Q5" s="20">
        <f>IF('Országok mutatói'!Q5 &lt; MEDIAN('Országok mutatói'!Q$2:Q$7), 0, 1)</f>
        <v>1</v>
      </c>
      <c r="R5" s="20">
        <f>IF('Országok mutatói'!R5 &lt; MEDIAN('Országok mutatói'!R$2:R$7), 0, 1)</f>
        <v>1</v>
      </c>
      <c r="S5" s="26">
        <f>IF('Országok mutatói'!S5 &lt; MEDIAN('Országok mutatói'!S$2:S$7), 0, 1)</f>
        <v>1</v>
      </c>
      <c r="T5" s="107">
        <f t="shared" si="0"/>
        <v>3</v>
      </c>
    </row>
    <row r="6" spans="1:20" x14ac:dyDescent="0.3">
      <c r="A6" s="8" t="s">
        <v>11</v>
      </c>
      <c r="B6" s="20">
        <f>IF('Országok mutatói'!B6 &lt; MEDIAN('Országok mutatói'!B$2:B$7), 0, 1)</f>
        <v>0</v>
      </c>
      <c r="C6" s="20">
        <f>IF('Országok mutatói'!C6 &lt; MEDIAN('Országok mutatói'!C$2:C$7), 0, 1)</f>
        <v>0</v>
      </c>
      <c r="D6" s="20">
        <f>IF('Országok mutatói'!D6 &lt; MEDIAN('Országok mutatói'!D$2:D$7), 0, 1)</f>
        <v>0</v>
      </c>
      <c r="E6" s="20">
        <f>IF('Országok mutatói'!E6 &lt; MEDIAN('Országok mutatói'!E$2:E$7), 0, 1)</f>
        <v>0</v>
      </c>
      <c r="F6" s="20">
        <f>IF('Országok mutatói'!F6 &lt; MEDIAN('Országok mutatói'!F$2:F$7), 0, 1)</f>
        <v>0</v>
      </c>
      <c r="G6" s="20">
        <f>IF('Országok mutatói'!G6 &lt; MEDIAN('Országok mutatói'!G$2:G$7), 0, 1)</f>
        <v>0</v>
      </c>
      <c r="H6" s="20">
        <f>IF('Országok mutatói'!H6 &lt; MEDIAN('Országok mutatói'!H$2:H$7), 0, 1)</f>
        <v>0</v>
      </c>
      <c r="I6" s="20">
        <f>IF('Országok mutatói'!I6 &lt; MEDIAN('Országok mutatói'!I$2:I$7), 0, 1)</f>
        <v>0</v>
      </c>
      <c r="J6" s="20">
        <f>IF('Országok mutatói'!J6 &lt; MEDIAN('Országok mutatói'!J$2:J$7), 0, 1)</f>
        <v>0</v>
      </c>
      <c r="K6" s="20">
        <f>IF('Országok mutatói'!K6 &lt; MEDIAN('Országok mutatói'!K$2:K$7), 0, 1)</f>
        <v>1</v>
      </c>
      <c r="L6" s="20">
        <f>IF('Országok mutatói'!L6 &lt; MEDIAN('Országok mutatói'!L$2:L$7), 0, 1)</f>
        <v>0</v>
      </c>
      <c r="M6" s="20">
        <f>IF('Országok mutatói'!M6 &lt; MEDIAN('Országok mutatói'!M$2:M$7), 0, 1)</f>
        <v>1</v>
      </c>
      <c r="N6" s="20">
        <f>IF('Országok mutatói'!N6 &lt; MEDIAN('Országok mutatói'!N$2:N$7), 0, 1)</f>
        <v>0</v>
      </c>
      <c r="O6" s="20">
        <f>IF('Országok mutatói'!O6 &lt; MEDIAN('Országok mutatói'!O$2:O$7), 0, 1)</f>
        <v>1</v>
      </c>
      <c r="P6" s="20">
        <f>IF('Országok mutatói'!P6 &lt; MEDIAN('Országok mutatói'!P$2:P$7), 0, 1)</f>
        <v>1</v>
      </c>
      <c r="Q6" s="20">
        <f>IF('Országok mutatói'!Q6 &lt; MEDIAN('Országok mutatói'!Q$2:Q$7), 0, 1)</f>
        <v>1</v>
      </c>
      <c r="R6" s="20">
        <f>IF('Országok mutatói'!R6 &lt; MEDIAN('Országok mutatói'!R$2:R$7), 0, 1)</f>
        <v>0</v>
      </c>
      <c r="S6" s="26">
        <f>IF('Országok mutatói'!S6 &lt; MEDIAN('Országok mutatói'!S$2:S$7), 0, 1)</f>
        <v>0</v>
      </c>
      <c r="T6" s="107">
        <f t="shared" si="0"/>
        <v>5</v>
      </c>
    </row>
    <row r="7" spans="1:20" ht="15" thickBot="1" x14ac:dyDescent="0.35">
      <c r="A7" s="41" t="s">
        <v>12</v>
      </c>
      <c r="B7" s="24">
        <f>IF('Országok mutatói'!B7 &lt; MEDIAN('Országok mutatói'!B$2:B$7), 0, 1)</f>
        <v>1</v>
      </c>
      <c r="C7" s="24">
        <f>IF('Országok mutatói'!C7 &lt; MEDIAN('Országok mutatói'!C$2:C$7), 0, 1)</f>
        <v>1</v>
      </c>
      <c r="D7" s="24">
        <f>IF('Országok mutatói'!D7 &lt; MEDIAN('Országok mutatói'!D$2:D$7), 0, 1)</f>
        <v>1</v>
      </c>
      <c r="E7" s="24">
        <f>IF('Országok mutatói'!E7 &lt; MEDIAN('Országok mutatói'!E$2:E$7), 0, 1)</f>
        <v>1</v>
      </c>
      <c r="F7" s="24">
        <f>IF('Országok mutatói'!F7 &lt; MEDIAN('Országok mutatói'!F$2:F$7), 0, 1)</f>
        <v>1</v>
      </c>
      <c r="G7" s="24">
        <f>IF('Országok mutatói'!G7 &lt; MEDIAN('Országok mutatói'!G$2:G$7), 0, 1)</f>
        <v>1</v>
      </c>
      <c r="H7" s="24">
        <f>IF('Országok mutatói'!H7 &lt; MEDIAN('Országok mutatói'!H$2:H$7), 0, 1)</f>
        <v>1</v>
      </c>
      <c r="I7" s="24">
        <f>IF('Országok mutatói'!I7 &lt; MEDIAN('Országok mutatói'!I$2:I$7), 0, 1)</f>
        <v>1</v>
      </c>
      <c r="J7" s="24">
        <f>IF('Országok mutatói'!J7 &lt; MEDIAN('Országok mutatói'!J$2:J$7), 0, 1)</f>
        <v>1</v>
      </c>
      <c r="K7" s="24">
        <f>IF('Országok mutatói'!K7 &lt; MEDIAN('Országok mutatói'!K$2:K$7), 0, 1)</f>
        <v>1</v>
      </c>
      <c r="L7" s="24">
        <f>IF('Országok mutatói'!L7 &lt; MEDIAN('Országok mutatói'!L$2:L$7), 0, 1)</f>
        <v>1</v>
      </c>
      <c r="M7" s="24">
        <f>IF('Országok mutatói'!M7 &lt; MEDIAN('Országok mutatói'!M$2:M$7), 0, 1)</f>
        <v>0</v>
      </c>
      <c r="N7" s="24">
        <f>IF('Országok mutatói'!N7 &lt; MEDIAN('Országok mutatói'!N$2:N$7), 0, 1)</f>
        <v>1</v>
      </c>
      <c r="O7" s="24">
        <f>IF('Országok mutatói'!O7 &lt; MEDIAN('Országok mutatói'!O$2:O$7), 0, 1)</f>
        <v>0</v>
      </c>
      <c r="P7" s="24">
        <f>IF('Országok mutatói'!P7 &lt; MEDIAN('Országok mutatói'!P$2:P$7), 0, 1)</f>
        <v>0</v>
      </c>
      <c r="Q7" s="24">
        <f>IF('Országok mutatói'!Q7 &lt; MEDIAN('Országok mutatói'!Q$2:Q$7), 0, 1)</f>
        <v>0</v>
      </c>
      <c r="R7" s="24">
        <f>IF('Országok mutatói'!R7 &lt; MEDIAN('Országok mutatói'!R$2:R$7), 0, 1)</f>
        <v>0</v>
      </c>
      <c r="S7" s="27">
        <f>IF('Országok mutatói'!S7 &lt; MEDIAN('Országok mutatói'!S$2:S$7), 0, 1)</f>
        <v>0</v>
      </c>
      <c r="T7" s="107">
        <f t="shared" si="0"/>
        <v>12</v>
      </c>
    </row>
    <row r="10" spans="1:20" x14ac:dyDescent="0.3">
      <c r="A10" s="7"/>
      <c r="B10" s="7"/>
      <c r="C10" s="7"/>
      <c r="D10" s="7"/>
    </row>
    <row r="11" spans="1:20" x14ac:dyDescent="0.3">
      <c r="A11" s="7"/>
      <c r="B11" s="7"/>
      <c r="C11" s="7"/>
      <c r="D11" s="7"/>
    </row>
    <row r="12" spans="1:20" x14ac:dyDescent="0.3">
      <c r="A12" s="7"/>
      <c r="B12" s="7"/>
      <c r="C12" s="7"/>
      <c r="D12" s="7"/>
    </row>
    <row r="13" spans="1:20" x14ac:dyDescent="0.3">
      <c r="A13" s="7"/>
      <c r="B13" s="7"/>
      <c r="C13" s="7"/>
      <c r="D13" s="7"/>
    </row>
    <row r="14" spans="1:20" x14ac:dyDescent="0.3">
      <c r="A14" s="7"/>
      <c r="B14" s="7"/>
      <c r="C14" s="7"/>
      <c r="D14" s="7"/>
    </row>
    <row r="15" spans="1:20" x14ac:dyDescent="0.3">
      <c r="A15" s="7"/>
      <c r="B15" s="7"/>
      <c r="C15" s="7"/>
      <c r="D15" s="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5"/>
  <sheetViews>
    <sheetView zoomScale="24" workbookViewId="0"/>
  </sheetViews>
  <sheetFormatPr defaultRowHeight="14.4" x14ac:dyDescent="0.3"/>
  <cols>
    <col min="1" max="1" width="41.33203125" customWidth="1"/>
    <col min="2" max="2" width="36.6640625" bestFit="1" customWidth="1"/>
    <col min="3" max="3" width="17.5546875" bestFit="1" customWidth="1"/>
    <col min="4" max="4" width="35.88671875" bestFit="1" customWidth="1"/>
    <col min="5" max="5" width="33.5546875" bestFit="1" customWidth="1"/>
    <col min="6" max="7" width="42.5546875" bestFit="1" customWidth="1"/>
    <col min="8" max="8" width="32.33203125" bestFit="1" customWidth="1"/>
    <col min="9" max="9" width="47.6640625" bestFit="1" customWidth="1"/>
    <col min="10" max="10" width="30.33203125" bestFit="1" customWidth="1"/>
  </cols>
  <sheetData>
    <row r="1" spans="1:10" ht="18.600000000000001" thickBot="1" x14ac:dyDescent="0.4">
      <c r="A1" s="34" t="s">
        <v>7</v>
      </c>
      <c r="H1" s="181" t="s">
        <v>99</v>
      </c>
      <c r="I1" s="182"/>
    </row>
    <row r="2" spans="1:10" ht="29.25" customHeight="1" thickBot="1" x14ac:dyDescent="0.35">
      <c r="A2" s="96" t="s">
        <v>88</v>
      </c>
      <c r="B2" s="97" t="s">
        <v>52</v>
      </c>
      <c r="C2" s="97" t="s">
        <v>89</v>
      </c>
      <c r="D2" s="97" t="s">
        <v>90</v>
      </c>
      <c r="E2" s="97" t="s">
        <v>91</v>
      </c>
      <c r="F2" s="98" t="s">
        <v>87</v>
      </c>
      <c r="H2" s="65" t="s">
        <v>98</v>
      </c>
      <c r="I2" s="66" t="s">
        <v>54</v>
      </c>
    </row>
    <row r="3" spans="1:10" ht="32.25" customHeight="1" x14ac:dyDescent="0.3">
      <c r="A3" s="99" t="s">
        <v>14</v>
      </c>
      <c r="B3" s="79">
        <f>'Országok mutatói'!C2</f>
        <v>30000</v>
      </c>
      <c r="C3" s="79">
        <f>(B3-J11)/(I11-J11)</f>
        <v>0.25531914893617019</v>
      </c>
      <c r="D3" s="80">
        <f>C60</f>
        <v>0.33</v>
      </c>
      <c r="E3" s="79">
        <f>C3*D3</f>
        <v>8.4255319148936164E-2</v>
      </c>
      <c r="F3" s="100" t="s">
        <v>82</v>
      </c>
      <c r="H3" s="63">
        <v>0.05</v>
      </c>
      <c r="I3" s="23" t="s">
        <v>92</v>
      </c>
    </row>
    <row r="4" spans="1:10" ht="18" customHeight="1" x14ac:dyDescent="0.3">
      <c r="A4" s="73" t="s">
        <v>15</v>
      </c>
      <c r="B4" s="69">
        <f>'Országok mutatói'!D2</f>
        <v>20000</v>
      </c>
      <c r="C4" s="69">
        <f t="shared" ref="C4:C7" si="0">(B4-J12)/(I12-J12)</f>
        <v>0.21052631578947367</v>
      </c>
      <c r="D4" s="80">
        <f t="shared" ref="D4:D7" si="1">C61</f>
        <v>0.25</v>
      </c>
      <c r="E4" s="69">
        <f t="shared" ref="E4:E7" si="2">C4*D4</f>
        <v>5.2631578947368418E-2</v>
      </c>
      <c r="F4" s="23" t="s">
        <v>83</v>
      </c>
      <c r="H4" s="63">
        <v>0.1</v>
      </c>
      <c r="I4" s="23" t="s">
        <v>93</v>
      </c>
    </row>
    <row r="5" spans="1:10" ht="19.5" customHeight="1" x14ac:dyDescent="0.3">
      <c r="A5" s="73" t="s">
        <v>16</v>
      </c>
      <c r="B5" s="69">
        <f>'Országok mutatói'!E2</f>
        <v>8000</v>
      </c>
      <c r="C5" s="69">
        <f t="shared" si="0"/>
        <v>0.21428571428571427</v>
      </c>
      <c r="D5" s="80">
        <f t="shared" si="1"/>
        <v>0.16</v>
      </c>
      <c r="E5" s="69">
        <f t="shared" si="2"/>
        <v>3.4285714285714287E-2</v>
      </c>
      <c r="F5" s="23" t="s">
        <v>84</v>
      </c>
      <c r="H5" s="63" t="s">
        <v>94</v>
      </c>
      <c r="I5" s="23" t="s">
        <v>95</v>
      </c>
    </row>
    <row r="6" spans="1:10" ht="20.25" customHeight="1" thickBot="1" x14ac:dyDescent="0.35">
      <c r="A6" s="73" t="s">
        <v>17</v>
      </c>
      <c r="B6" s="69">
        <f>'Országok mutatói'!F2</f>
        <v>6000</v>
      </c>
      <c r="C6" s="69">
        <f t="shared" si="0"/>
        <v>0.26315789473684209</v>
      </c>
      <c r="D6" s="80">
        <f t="shared" si="1"/>
        <v>0.16</v>
      </c>
      <c r="E6" s="69">
        <f t="shared" si="2"/>
        <v>4.2105263157894736E-2</v>
      </c>
      <c r="F6" s="23" t="s">
        <v>85</v>
      </c>
      <c r="H6" s="64" t="s">
        <v>96</v>
      </c>
      <c r="I6" s="25" t="s">
        <v>97</v>
      </c>
    </row>
    <row r="7" spans="1:10" ht="16.5" customHeight="1" thickBot="1" x14ac:dyDescent="0.35">
      <c r="A7" s="74" t="s">
        <v>18</v>
      </c>
      <c r="B7" s="78">
        <f>'Országok mutatói'!G2</f>
        <v>4000</v>
      </c>
      <c r="C7" s="78">
        <f t="shared" si="0"/>
        <v>0.33333333333333331</v>
      </c>
      <c r="D7" s="80">
        <f t="shared" si="1"/>
        <v>0.1</v>
      </c>
      <c r="E7" s="78">
        <f t="shared" si="2"/>
        <v>3.3333333333333333E-2</v>
      </c>
      <c r="F7" s="25" t="s">
        <v>86</v>
      </c>
    </row>
    <row r="8" spans="1:10" ht="29.4" thickBot="1" x14ac:dyDescent="0.35">
      <c r="A8" s="87" t="s">
        <v>103</v>
      </c>
      <c r="B8" s="86"/>
      <c r="C8" s="86"/>
      <c r="D8" s="86"/>
      <c r="E8" s="85">
        <f>SUM(E3:E7)</f>
        <v>0.24661120887324692</v>
      </c>
    </row>
    <row r="9" spans="1:10" ht="15" thickBot="1" x14ac:dyDescent="0.35"/>
    <row r="10" spans="1:10" ht="18.600000000000001" thickBot="1" x14ac:dyDescent="0.4">
      <c r="A10" s="92" t="s">
        <v>8</v>
      </c>
      <c r="H10" s="70" t="s">
        <v>100</v>
      </c>
      <c r="I10" s="71" t="s">
        <v>101</v>
      </c>
      <c r="J10" s="72" t="s">
        <v>102</v>
      </c>
    </row>
    <row r="11" spans="1:10" ht="29.4" thickBot="1" x14ac:dyDescent="0.35">
      <c r="A11" s="96" t="s">
        <v>88</v>
      </c>
      <c r="B11" s="97" t="s">
        <v>52</v>
      </c>
      <c r="C11" s="97" t="s">
        <v>89</v>
      </c>
      <c r="D11" s="97" t="s">
        <v>90</v>
      </c>
      <c r="E11" s="97" t="s">
        <v>91</v>
      </c>
      <c r="F11" s="98" t="s">
        <v>87</v>
      </c>
      <c r="H11" s="73" t="s">
        <v>14</v>
      </c>
      <c r="I11" s="54">
        <f>MAX('Országok mutatói'!C2:C7)</f>
        <v>100000</v>
      </c>
      <c r="J11" s="75">
        <f>MIN('Országok mutatói'!C2:C7)</f>
        <v>6000</v>
      </c>
    </row>
    <row r="12" spans="1:10" ht="15" thickBot="1" x14ac:dyDescent="0.35">
      <c r="A12" s="81" t="s">
        <v>14</v>
      </c>
      <c r="B12" s="82">
        <f>'Országok mutatói'!C3</f>
        <v>20000</v>
      </c>
      <c r="C12" s="82">
        <f>(B12-J11)/(I11-J11)</f>
        <v>0.14893617021276595</v>
      </c>
      <c r="D12" s="83">
        <f>C60</f>
        <v>0.33</v>
      </c>
      <c r="E12" s="82">
        <f>C12*D12</f>
        <v>4.9148936170212765E-2</v>
      </c>
      <c r="F12" s="22" t="s">
        <v>82</v>
      </c>
      <c r="H12" s="73" t="s">
        <v>15</v>
      </c>
      <c r="I12" s="54">
        <f>MAX('Országok mutatói'!D2:D7)</f>
        <v>80000</v>
      </c>
      <c r="J12" s="75">
        <f>MIN('Országok mutatói'!D2:D7)</f>
        <v>4000</v>
      </c>
    </row>
    <row r="13" spans="1:10" ht="15" thickBot="1" x14ac:dyDescent="0.35">
      <c r="A13" s="73" t="s">
        <v>15</v>
      </c>
      <c r="B13" s="69">
        <f>'Országok mutatói'!D3</f>
        <v>15000</v>
      </c>
      <c r="C13" s="69">
        <f t="shared" ref="C13:C16" si="3">(B13-J12)/(I12-J12)</f>
        <v>0.14473684210526316</v>
      </c>
      <c r="D13" s="83">
        <f t="shared" ref="D13:D16" si="4">C61</f>
        <v>0.25</v>
      </c>
      <c r="E13" s="69">
        <f t="shared" ref="E13:E16" si="5">C13*D13</f>
        <v>3.6184210526315791E-2</v>
      </c>
      <c r="F13" s="23" t="s">
        <v>83</v>
      </c>
      <c r="H13" s="73" t="s">
        <v>16</v>
      </c>
      <c r="I13" s="54">
        <f>MAX('Országok mutatói'!E2:E7)</f>
        <v>30000</v>
      </c>
      <c r="J13" s="75">
        <f>MIN('Országok mutatói'!E2:E7)</f>
        <v>2000</v>
      </c>
    </row>
    <row r="14" spans="1:10" ht="15" thickBot="1" x14ac:dyDescent="0.35">
      <c r="A14" s="73" t="s">
        <v>16</v>
      </c>
      <c r="B14" s="69">
        <f>'Országok mutatói'!E3</f>
        <v>6000</v>
      </c>
      <c r="C14" s="69">
        <f t="shared" si="3"/>
        <v>0.14285714285714285</v>
      </c>
      <c r="D14" s="83">
        <f t="shared" si="4"/>
        <v>0.16</v>
      </c>
      <c r="E14" s="69">
        <f t="shared" si="5"/>
        <v>2.2857142857142857E-2</v>
      </c>
      <c r="F14" s="23" t="s">
        <v>84</v>
      </c>
      <c r="H14" s="73" t="s">
        <v>17</v>
      </c>
      <c r="I14" s="54">
        <f>MAX('Országok mutatói'!F2:F7)</f>
        <v>20000</v>
      </c>
      <c r="J14" s="75">
        <f>MIN('Országok mutatói'!F2:F7)</f>
        <v>1000</v>
      </c>
    </row>
    <row r="15" spans="1:10" ht="15" thickBot="1" x14ac:dyDescent="0.35">
      <c r="A15" s="73" t="s">
        <v>17</v>
      </c>
      <c r="B15" s="69">
        <f>'Országok mutatói'!F3</f>
        <v>4000</v>
      </c>
      <c r="C15" s="69">
        <f t="shared" si="3"/>
        <v>0.15789473684210525</v>
      </c>
      <c r="D15" s="83">
        <f t="shared" si="4"/>
        <v>0.16</v>
      </c>
      <c r="E15" s="69">
        <f t="shared" si="5"/>
        <v>2.5263157894736842E-2</v>
      </c>
      <c r="F15" s="23" t="s">
        <v>85</v>
      </c>
      <c r="H15" s="74" t="s">
        <v>18</v>
      </c>
      <c r="I15" s="60">
        <f>MAX('Országok mutatói'!G2:G7)</f>
        <v>10000</v>
      </c>
      <c r="J15" s="76">
        <f>MIN('Országok mutatói'!G2:G7)</f>
        <v>1000</v>
      </c>
    </row>
    <row r="16" spans="1:10" ht="15" thickBot="1" x14ac:dyDescent="0.35">
      <c r="A16" s="74" t="s">
        <v>18</v>
      </c>
      <c r="B16" s="78">
        <f>'Országok mutatói'!G3</f>
        <v>2000</v>
      </c>
      <c r="C16" s="78">
        <f t="shared" si="3"/>
        <v>0.1111111111111111</v>
      </c>
      <c r="D16" s="83">
        <f t="shared" si="4"/>
        <v>0.1</v>
      </c>
      <c r="E16" s="78">
        <f t="shared" si="5"/>
        <v>1.1111111111111112E-2</v>
      </c>
      <c r="F16" s="25" t="s">
        <v>86</v>
      </c>
    </row>
    <row r="17" spans="1:6" ht="29.4" thickBot="1" x14ac:dyDescent="0.35">
      <c r="A17" s="87" t="s">
        <v>103</v>
      </c>
      <c r="B17" s="84"/>
      <c r="C17" s="84"/>
      <c r="D17" s="84"/>
      <c r="E17" s="85">
        <f>SUM(E12:E16)</f>
        <v>0.14456455855951936</v>
      </c>
      <c r="F17" s="68"/>
    </row>
    <row r="18" spans="1:6" ht="15" thickBot="1" x14ac:dyDescent="0.35">
      <c r="A18" s="67"/>
      <c r="B18" s="67"/>
      <c r="C18" s="67"/>
      <c r="D18" s="67"/>
      <c r="E18" s="67"/>
      <c r="F18" s="68"/>
    </row>
    <row r="19" spans="1:6" ht="18.600000000000001" thickBot="1" x14ac:dyDescent="0.4">
      <c r="A19" s="92" t="s">
        <v>9</v>
      </c>
      <c r="B19" s="67"/>
      <c r="C19" s="67"/>
      <c r="D19" s="67"/>
      <c r="E19" s="67"/>
      <c r="F19" s="68"/>
    </row>
    <row r="20" spans="1:6" x14ac:dyDescent="0.3">
      <c r="A20" s="93" t="s">
        <v>88</v>
      </c>
      <c r="B20" s="94" t="s">
        <v>52</v>
      </c>
      <c r="C20" s="94" t="s">
        <v>89</v>
      </c>
      <c r="D20" s="94" t="s">
        <v>90</v>
      </c>
      <c r="E20" s="94" t="s">
        <v>91</v>
      </c>
      <c r="F20" s="95" t="s">
        <v>87</v>
      </c>
    </row>
    <row r="21" spans="1:6" x14ac:dyDescent="0.3">
      <c r="A21" s="73" t="s">
        <v>14</v>
      </c>
      <c r="B21" s="69">
        <f>'Országok mutatói'!C4</f>
        <v>70000</v>
      </c>
      <c r="C21" s="69">
        <f>(B21-J11)/(I11-J11)</f>
        <v>0.68085106382978722</v>
      </c>
      <c r="D21" s="77">
        <f>C60</f>
        <v>0.33</v>
      </c>
      <c r="E21" s="69">
        <f>C21*D21</f>
        <v>0.22468085106382979</v>
      </c>
      <c r="F21" s="23" t="s">
        <v>82</v>
      </c>
    </row>
    <row r="22" spans="1:6" x14ac:dyDescent="0.3">
      <c r="A22" s="73" t="s">
        <v>15</v>
      </c>
      <c r="B22" s="69">
        <f>'Országok mutatói'!D4</f>
        <v>30000</v>
      </c>
      <c r="C22" s="69">
        <f t="shared" ref="C22:C25" si="6">(B22-J12)/(I12-J12)</f>
        <v>0.34210526315789475</v>
      </c>
      <c r="D22" s="77">
        <f t="shared" ref="D22:D25" si="7">C61</f>
        <v>0.25</v>
      </c>
      <c r="E22" s="69">
        <f t="shared" ref="E22:E25" si="8">C22*D22</f>
        <v>8.5526315789473686E-2</v>
      </c>
      <c r="F22" s="23" t="s">
        <v>83</v>
      </c>
    </row>
    <row r="23" spans="1:6" x14ac:dyDescent="0.3">
      <c r="A23" s="73" t="s">
        <v>16</v>
      </c>
      <c r="B23" s="69">
        <f>'Országok mutatói'!E4</f>
        <v>10000</v>
      </c>
      <c r="C23" s="69">
        <f t="shared" si="6"/>
        <v>0.2857142857142857</v>
      </c>
      <c r="D23" s="77">
        <f t="shared" si="7"/>
        <v>0.16</v>
      </c>
      <c r="E23" s="69">
        <f t="shared" si="8"/>
        <v>4.5714285714285714E-2</v>
      </c>
      <c r="F23" s="23" t="s">
        <v>84</v>
      </c>
    </row>
    <row r="24" spans="1:6" x14ac:dyDescent="0.3">
      <c r="A24" s="73" t="s">
        <v>17</v>
      </c>
      <c r="B24" s="69">
        <f>'Országok mutatói'!F4</f>
        <v>8000</v>
      </c>
      <c r="C24" s="69">
        <f t="shared" si="6"/>
        <v>0.36842105263157893</v>
      </c>
      <c r="D24" s="77">
        <f t="shared" si="7"/>
        <v>0.16</v>
      </c>
      <c r="E24" s="69">
        <f t="shared" si="8"/>
        <v>5.894736842105263E-2</v>
      </c>
      <c r="F24" s="23" t="s">
        <v>85</v>
      </c>
    </row>
    <row r="25" spans="1:6" ht="15" thickBot="1" x14ac:dyDescent="0.35">
      <c r="A25" s="74" t="s">
        <v>18</v>
      </c>
      <c r="B25" s="78">
        <f>'Országok mutatói'!G4</f>
        <v>4000</v>
      </c>
      <c r="C25" s="78">
        <f t="shared" si="6"/>
        <v>0.33333333333333331</v>
      </c>
      <c r="D25" s="77">
        <f t="shared" si="7"/>
        <v>0.1</v>
      </c>
      <c r="E25" s="78">
        <f t="shared" si="8"/>
        <v>3.3333333333333333E-2</v>
      </c>
      <c r="F25" s="25" t="s">
        <v>86</v>
      </c>
    </row>
    <row r="26" spans="1:6" ht="29.4" thickBot="1" x14ac:dyDescent="0.35">
      <c r="A26" s="87" t="s">
        <v>103</v>
      </c>
      <c r="B26" s="86"/>
      <c r="C26" s="86"/>
      <c r="D26" s="86"/>
      <c r="E26" s="85">
        <f>SUM(E21:E25)</f>
        <v>0.44820215432197513</v>
      </c>
    </row>
    <row r="27" spans="1:6" ht="15" thickBot="1" x14ac:dyDescent="0.35"/>
    <row r="28" spans="1:6" ht="18.600000000000001" thickBot="1" x14ac:dyDescent="0.4">
      <c r="A28" s="92" t="s">
        <v>10</v>
      </c>
    </row>
    <row r="29" spans="1:6" x14ac:dyDescent="0.3">
      <c r="A29" s="93" t="s">
        <v>88</v>
      </c>
      <c r="B29" s="94" t="s">
        <v>52</v>
      </c>
      <c r="C29" s="94" t="s">
        <v>89</v>
      </c>
      <c r="D29" s="94" t="s">
        <v>90</v>
      </c>
      <c r="E29" s="94" t="s">
        <v>91</v>
      </c>
      <c r="F29" s="95" t="s">
        <v>87</v>
      </c>
    </row>
    <row r="30" spans="1:6" x14ac:dyDescent="0.3">
      <c r="A30" s="73" t="s">
        <v>14</v>
      </c>
      <c r="B30" s="69">
        <f>'Országok mutatói'!C5</f>
        <v>15000</v>
      </c>
      <c r="C30" s="69">
        <f>(B30-J11)/(I11-J11)</f>
        <v>9.5744680851063829E-2</v>
      </c>
      <c r="D30" s="77">
        <f>C60</f>
        <v>0.33</v>
      </c>
      <c r="E30" s="69">
        <f>C30*D30</f>
        <v>3.1595744680851065E-2</v>
      </c>
      <c r="F30" s="23" t="s">
        <v>82</v>
      </c>
    </row>
    <row r="31" spans="1:6" x14ac:dyDescent="0.3">
      <c r="A31" s="73" t="s">
        <v>15</v>
      </c>
      <c r="B31" s="69">
        <f>'Országok mutatói'!D5</f>
        <v>10000</v>
      </c>
      <c r="C31" s="69">
        <f t="shared" ref="C31:C34" si="9">(B31-J12)/(I12-J12)</f>
        <v>7.8947368421052627E-2</v>
      </c>
      <c r="D31" s="77">
        <f t="shared" ref="D31:D34" si="10">C61</f>
        <v>0.25</v>
      </c>
      <c r="E31" s="69">
        <f t="shared" ref="E31:E34" si="11">C31*D31</f>
        <v>1.9736842105263157E-2</v>
      </c>
      <c r="F31" s="23" t="s">
        <v>83</v>
      </c>
    </row>
    <row r="32" spans="1:6" x14ac:dyDescent="0.3">
      <c r="A32" s="73" t="s">
        <v>16</v>
      </c>
      <c r="B32" s="69">
        <f>'Országok mutatói'!E5</f>
        <v>4000</v>
      </c>
      <c r="C32" s="69">
        <f t="shared" si="9"/>
        <v>7.1428571428571425E-2</v>
      </c>
      <c r="D32" s="77">
        <f t="shared" si="10"/>
        <v>0.16</v>
      </c>
      <c r="E32" s="69">
        <f t="shared" si="11"/>
        <v>1.1428571428571429E-2</v>
      </c>
      <c r="F32" s="23" t="s">
        <v>84</v>
      </c>
    </row>
    <row r="33" spans="1:6" x14ac:dyDescent="0.3">
      <c r="A33" s="73" t="s">
        <v>17</v>
      </c>
      <c r="B33" s="69">
        <f>'Országok mutatói'!F5</f>
        <v>3000</v>
      </c>
      <c r="C33" s="69">
        <f t="shared" si="9"/>
        <v>0.10526315789473684</v>
      </c>
      <c r="D33" s="77">
        <f t="shared" si="10"/>
        <v>0.16</v>
      </c>
      <c r="E33" s="69">
        <f t="shared" si="11"/>
        <v>1.6842105263157894E-2</v>
      </c>
      <c r="F33" s="23" t="s">
        <v>85</v>
      </c>
    </row>
    <row r="34" spans="1:6" ht="15" thickBot="1" x14ac:dyDescent="0.35">
      <c r="A34" s="74" t="s">
        <v>18</v>
      </c>
      <c r="B34" s="78">
        <f>'Országok mutatói'!G5</f>
        <v>2000</v>
      </c>
      <c r="C34" s="78">
        <f t="shared" si="9"/>
        <v>0.1111111111111111</v>
      </c>
      <c r="D34" s="77">
        <f t="shared" si="10"/>
        <v>0.1</v>
      </c>
      <c r="E34" s="78">
        <f t="shared" si="11"/>
        <v>1.1111111111111112E-2</v>
      </c>
      <c r="F34" s="25" t="s">
        <v>86</v>
      </c>
    </row>
    <row r="35" spans="1:6" ht="29.4" thickBot="1" x14ac:dyDescent="0.35">
      <c r="A35" s="88" t="s">
        <v>103</v>
      </c>
      <c r="B35" s="89"/>
      <c r="C35" s="89"/>
      <c r="D35" s="89"/>
      <c r="E35" s="90">
        <f>SUM(E30:E34)</f>
        <v>9.0714374588954663E-2</v>
      </c>
      <c r="F35" s="68"/>
    </row>
    <row r="36" spans="1:6" ht="15" thickBot="1" x14ac:dyDescent="0.35">
      <c r="A36" s="67"/>
      <c r="B36" s="67"/>
      <c r="C36" s="67"/>
      <c r="D36" s="67"/>
      <c r="E36" s="67"/>
      <c r="F36" s="68"/>
    </row>
    <row r="37" spans="1:6" ht="18.600000000000001" thickBot="1" x14ac:dyDescent="0.4">
      <c r="A37" s="92" t="s">
        <v>11</v>
      </c>
      <c r="B37" s="67"/>
      <c r="C37" s="67"/>
      <c r="D37" s="67"/>
      <c r="E37" s="67"/>
      <c r="F37" s="68"/>
    </row>
    <row r="38" spans="1:6" x14ac:dyDescent="0.3">
      <c r="A38" s="93" t="s">
        <v>88</v>
      </c>
      <c r="B38" s="94" t="s">
        <v>52</v>
      </c>
      <c r="C38" s="94" t="s">
        <v>89</v>
      </c>
      <c r="D38" s="94" t="s">
        <v>90</v>
      </c>
      <c r="E38" s="94" t="s">
        <v>91</v>
      </c>
      <c r="F38" s="95" t="s">
        <v>87</v>
      </c>
    </row>
    <row r="39" spans="1:6" x14ac:dyDescent="0.3">
      <c r="A39" s="73" t="s">
        <v>14</v>
      </c>
      <c r="B39" s="69">
        <f>'Országok mutatói'!C6</f>
        <v>6000</v>
      </c>
      <c r="C39" s="69">
        <f>(B39-J11)/(I11-J11)</f>
        <v>0</v>
      </c>
      <c r="D39" s="77">
        <f>C60</f>
        <v>0.33</v>
      </c>
      <c r="E39" s="69">
        <f>C39*D39</f>
        <v>0</v>
      </c>
      <c r="F39" s="23" t="s">
        <v>82</v>
      </c>
    </row>
    <row r="40" spans="1:6" x14ac:dyDescent="0.3">
      <c r="A40" s="73" t="s">
        <v>15</v>
      </c>
      <c r="B40" s="69">
        <f>'Országok mutatói'!D6</f>
        <v>4000</v>
      </c>
      <c r="C40" s="69">
        <f t="shared" ref="C40:C43" si="12">(B40-J12)/(I12-J12)</f>
        <v>0</v>
      </c>
      <c r="D40" s="77">
        <f t="shared" ref="D40:D43" si="13">C61</f>
        <v>0.25</v>
      </c>
      <c r="E40" s="69">
        <f t="shared" ref="E40:E43" si="14">C40*D40</f>
        <v>0</v>
      </c>
      <c r="F40" s="23" t="s">
        <v>83</v>
      </c>
    </row>
    <row r="41" spans="1:6" x14ac:dyDescent="0.3">
      <c r="A41" s="73" t="s">
        <v>16</v>
      </c>
      <c r="B41" s="69">
        <f>'Országok mutatói'!E6</f>
        <v>2000</v>
      </c>
      <c r="C41" s="69">
        <f t="shared" si="12"/>
        <v>0</v>
      </c>
      <c r="D41" s="77">
        <f t="shared" si="13"/>
        <v>0.16</v>
      </c>
      <c r="E41" s="69">
        <f t="shared" si="14"/>
        <v>0</v>
      </c>
      <c r="F41" s="23" t="s">
        <v>84</v>
      </c>
    </row>
    <row r="42" spans="1:6" x14ac:dyDescent="0.3">
      <c r="A42" s="73" t="s">
        <v>17</v>
      </c>
      <c r="B42" s="69">
        <f>'Országok mutatói'!F6</f>
        <v>1000</v>
      </c>
      <c r="C42" s="69">
        <f t="shared" si="12"/>
        <v>0</v>
      </c>
      <c r="D42" s="77">
        <f t="shared" si="13"/>
        <v>0.16</v>
      </c>
      <c r="E42" s="69">
        <f t="shared" si="14"/>
        <v>0</v>
      </c>
      <c r="F42" s="23" t="s">
        <v>85</v>
      </c>
    </row>
    <row r="43" spans="1:6" ht="15" thickBot="1" x14ac:dyDescent="0.35">
      <c r="A43" s="74" t="s">
        <v>18</v>
      </c>
      <c r="B43" s="78">
        <f>'Országok mutatói'!G6</f>
        <v>1000</v>
      </c>
      <c r="C43" s="78">
        <f t="shared" si="12"/>
        <v>0</v>
      </c>
      <c r="D43" s="77">
        <f t="shared" si="13"/>
        <v>0.1</v>
      </c>
      <c r="E43" s="78">
        <f t="shared" si="14"/>
        <v>0</v>
      </c>
      <c r="F43" s="25" t="s">
        <v>86</v>
      </c>
    </row>
    <row r="44" spans="1:6" ht="29.4" thickBot="1" x14ac:dyDescent="0.35">
      <c r="A44" s="88" t="s">
        <v>103</v>
      </c>
      <c r="B44" s="91"/>
      <c r="C44" s="91"/>
      <c r="D44" s="91"/>
      <c r="E44" s="90">
        <f>SUM(E39:E43)</f>
        <v>0</v>
      </c>
    </row>
    <row r="45" spans="1:6" ht="15" thickBot="1" x14ac:dyDescent="0.35"/>
    <row r="46" spans="1:6" ht="18.600000000000001" thickBot="1" x14ac:dyDescent="0.4">
      <c r="A46" s="92" t="s">
        <v>12</v>
      </c>
    </row>
    <row r="47" spans="1:6" x14ac:dyDescent="0.3">
      <c r="A47" s="93" t="s">
        <v>88</v>
      </c>
      <c r="B47" s="94" t="s">
        <v>52</v>
      </c>
      <c r="C47" s="94" t="s">
        <v>89</v>
      </c>
      <c r="D47" s="94" t="s">
        <v>90</v>
      </c>
      <c r="E47" s="94" t="s">
        <v>91</v>
      </c>
      <c r="F47" s="95" t="s">
        <v>87</v>
      </c>
    </row>
    <row r="48" spans="1:6" x14ac:dyDescent="0.3">
      <c r="A48" s="73" t="s">
        <v>14</v>
      </c>
      <c r="B48" s="69">
        <f>'Országok mutatói'!C7</f>
        <v>100000</v>
      </c>
      <c r="C48" s="69">
        <f>(B48-J11)/(I11-J11)</f>
        <v>1</v>
      </c>
      <c r="D48" s="77">
        <f>C60</f>
        <v>0.33</v>
      </c>
      <c r="E48" s="69">
        <f t="shared" ref="E48:E52" si="15">C48*D48</f>
        <v>0.33</v>
      </c>
      <c r="F48" s="23" t="s">
        <v>82</v>
      </c>
    </row>
    <row r="49" spans="1:6" x14ac:dyDescent="0.3">
      <c r="A49" s="73" t="s">
        <v>15</v>
      </c>
      <c r="B49" s="69">
        <f>'Országok mutatói'!D7</f>
        <v>80000</v>
      </c>
      <c r="C49" s="69">
        <f t="shared" ref="C49:C52" si="16">(B49-J12)/(I12-J12)</f>
        <v>1</v>
      </c>
      <c r="D49" s="77">
        <f t="shared" ref="D49:D52" si="17">C61</f>
        <v>0.25</v>
      </c>
      <c r="E49" s="69">
        <f t="shared" si="15"/>
        <v>0.25</v>
      </c>
      <c r="F49" s="23" t="s">
        <v>83</v>
      </c>
    </row>
    <row r="50" spans="1:6" x14ac:dyDescent="0.3">
      <c r="A50" s="73" t="s">
        <v>16</v>
      </c>
      <c r="B50" s="69">
        <f>'Országok mutatói'!E7</f>
        <v>30000</v>
      </c>
      <c r="C50" s="69">
        <f t="shared" si="16"/>
        <v>1</v>
      </c>
      <c r="D50" s="77">
        <f t="shared" si="17"/>
        <v>0.16</v>
      </c>
      <c r="E50" s="69">
        <f t="shared" si="15"/>
        <v>0.16</v>
      </c>
      <c r="F50" s="23" t="s">
        <v>84</v>
      </c>
    </row>
    <row r="51" spans="1:6" x14ac:dyDescent="0.3">
      <c r="A51" s="73" t="s">
        <v>17</v>
      </c>
      <c r="B51" s="69">
        <f>'Országok mutatói'!F7</f>
        <v>20000</v>
      </c>
      <c r="C51" s="69">
        <f t="shared" si="16"/>
        <v>1</v>
      </c>
      <c r="D51" s="77">
        <f t="shared" si="17"/>
        <v>0.16</v>
      </c>
      <c r="E51" s="69">
        <f t="shared" si="15"/>
        <v>0.16</v>
      </c>
      <c r="F51" s="23" t="s">
        <v>85</v>
      </c>
    </row>
    <row r="52" spans="1:6" ht="15" thickBot="1" x14ac:dyDescent="0.35">
      <c r="A52" s="74" t="s">
        <v>18</v>
      </c>
      <c r="B52" s="78">
        <f>'Országok mutatói'!G7</f>
        <v>10000</v>
      </c>
      <c r="C52" s="78">
        <f t="shared" si="16"/>
        <v>1</v>
      </c>
      <c r="D52" s="77">
        <f t="shared" si="17"/>
        <v>0.1</v>
      </c>
      <c r="E52" s="78">
        <f t="shared" si="15"/>
        <v>0.1</v>
      </c>
      <c r="F52" s="25" t="s">
        <v>86</v>
      </c>
    </row>
    <row r="53" spans="1:6" ht="29.4" thickBot="1" x14ac:dyDescent="0.35">
      <c r="A53" s="88" t="s">
        <v>103</v>
      </c>
      <c r="B53" s="91"/>
      <c r="C53" s="91"/>
      <c r="D53" s="91"/>
      <c r="E53" s="90">
        <f>SUM(E48:E52)</f>
        <v>1.0000000000000002</v>
      </c>
    </row>
    <row r="56" spans="1:6" ht="15" thickBot="1" x14ac:dyDescent="0.35"/>
    <row r="57" spans="1:6" ht="15" customHeight="1" x14ac:dyDescent="0.3">
      <c r="B57" s="183" t="s">
        <v>152</v>
      </c>
      <c r="C57" s="184"/>
      <c r="D57" s="185"/>
    </row>
    <row r="58" spans="1:6" ht="15.75" customHeight="1" thickBot="1" x14ac:dyDescent="0.35">
      <c r="B58" s="186"/>
      <c r="C58" s="187"/>
      <c r="D58" s="188"/>
    </row>
    <row r="59" spans="1:6" ht="18" x14ac:dyDescent="0.35">
      <c r="B59" s="70" t="s">
        <v>100</v>
      </c>
      <c r="C59" s="71" t="s">
        <v>153</v>
      </c>
      <c r="D59" s="72" t="s">
        <v>54</v>
      </c>
    </row>
    <row r="60" spans="1:6" ht="28.8" x14ac:dyDescent="0.3">
      <c r="B60" s="128" t="str">
        <f>A3</f>
        <v>Tiltott légterek (km²)</v>
      </c>
      <c r="C60" s="131">
        <v>0.33</v>
      </c>
      <c r="D60" s="124" t="s">
        <v>154</v>
      </c>
    </row>
    <row r="61" spans="1:6" x14ac:dyDescent="0.3">
      <c r="B61" s="128" t="str">
        <f t="shared" ref="B61:B64" si="18">A4</f>
        <v>Korlátozott légterek (km²)</v>
      </c>
      <c r="C61" s="131">
        <v>0.25</v>
      </c>
      <c r="D61" s="125" t="s">
        <v>155</v>
      </c>
    </row>
    <row r="62" spans="1:6" x14ac:dyDescent="0.3">
      <c r="B62" s="128" t="str">
        <f t="shared" si="18"/>
        <v>Katonai zónák (km²)</v>
      </c>
      <c r="C62" s="132">
        <v>0.16</v>
      </c>
      <c r="D62" s="125" t="s">
        <v>156</v>
      </c>
    </row>
    <row r="63" spans="1:6" ht="86.4" x14ac:dyDescent="0.3">
      <c r="B63" s="128" t="str">
        <f t="shared" si="18"/>
        <v>Repülőtér zónák (km²)</v>
      </c>
      <c r="C63" s="132">
        <v>0.16</v>
      </c>
      <c r="D63" s="124" t="s">
        <v>158</v>
      </c>
    </row>
    <row r="64" spans="1:6" ht="28.8" x14ac:dyDescent="0.3">
      <c r="B64" s="129" t="str">
        <f t="shared" si="18"/>
        <v>Természetvédelmi területek (km²)</v>
      </c>
      <c r="C64" s="133">
        <v>0.1</v>
      </c>
      <c r="D64" s="126" t="s">
        <v>157</v>
      </c>
    </row>
    <row r="65" spans="2:4" ht="43.8" thickBot="1" x14ac:dyDescent="0.35">
      <c r="B65" s="130" t="s">
        <v>159</v>
      </c>
      <c r="C65" s="134">
        <f>SUM(C60:C64)</f>
        <v>1.0000000000000002</v>
      </c>
      <c r="D65" s="127" t="s">
        <v>160</v>
      </c>
    </row>
  </sheetData>
  <mergeCells count="2">
    <mergeCell ref="H1:I1"/>
    <mergeCell ref="B57:D58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"/>
  <sheetViews>
    <sheetView zoomScale="55" workbookViewId="0">
      <selection activeCell="C1" sqref="C1"/>
    </sheetView>
  </sheetViews>
  <sheetFormatPr defaultRowHeight="14.4" x14ac:dyDescent="0.3"/>
  <cols>
    <col min="1" max="1" width="41.109375" bestFit="1" customWidth="1"/>
    <col min="2" max="2" width="10.33203125" bestFit="1" customWidth="1"/>
    <col min="3" max="3" width="15.5546875" customWidth="1"/>
    <col min="4" max="4" width="21.88671875" customWidth="1"/>
    <col min="5" max="5" width="86" bestFit="1" customWidth="1"/>
  </cols>
  <sheetData>
    <row r="1" spans="1:5" ht="18.600000000000001" thickBot="1" x14ac:dyDescent="0.4">
      <c r="A1" s="37" t="s">
        <v>44</v>
      </c>
      <c r="B1" s="38" t="s">
        <v>45</v>
      </c>
      <c r="C1" s="173" t="s">
        <v>25</v>
      </c>
      <c r="D1" s="38" t="s">
        <v>46</v>
      </c>
      <c r="E1" s="39" t="s">
        <v>70</v>
      </c>
    </row>
    <row r="2" spans="1:5" ht="28.8" x14ac:dyDescent="0.3">
      <c r="A2" s="42" t="s">
        <v>13</v>
      </c>
      <c r="B2" s="48">
        <f>'Elemzési irány'!C2</f>
        <v>0</v>
      </c>
      <c r="C2" s="49">
        <f>CORREL('Országok mutatói'!B$2:B$7, 'Országok mutatói'!$I$2:$I$7)</f>
        <v>0.29241351174972724</v>
      </c>
      <c r="D2" s="50" t="str">
        <f>IF(ISERROR(C2), "nincs adat", IF(OR(AND(B2=0, C2&gt;0), AND(B2=1, C2&lt;0)), "pozitív (jó) hatás", "negatív (rossz) hatás"))</f>
        <v>pozitív (jó) hatás</v>
      </c>
      <c r="E2" s="51" t="s">
        <v>60</v>
      </c>
    </row>
    <row r="3" spans="1:5" ht="28.8" x14ac:dyDescent="0.3">
      <c r="A3" s="43" t="s">
        <v>14</v>
      </c>
      <c r="B3" s="52">
        <f>'Elemzési irány'!C3</f>
        <v>0</v>
      </c>
      <c r="C3" s="53">
        <f>CORREL('Országok mutatói'!C$2:C$7, 'Országok mutatói'!$I$2:$I$7)</f>
        <v>0.27174218473070644</v>
      </c>
      <c r="D3" s="54" t="str">
        <f t="shared" ref="D3:D19" si="0">IF(ISERROR(C3), "nincs adat", IF(OR(AND(B3=0, C3&gt;0), AND(B3=1, C3&lt;0)), "pozitív (jó) hatás", "negatív (rossz) hatás"))</f>
        <v>pozitív (jó) hatás</v>
      </c>
      <c r="E3" s="55" t="s">
        <v>61</v>
      </c>
    </row>
    <row r="4" spans="1:5" ht="28.8" x14ac:dyDescent="0.3">
      <c r="A4" s="43" t="s">
        <v>15</v>
      </c>
      <c r="B4" s="52">
        <f>'Elemzési irány'!C4</f>
        <v>0</v>
      </c>
      <c r="C4" s="53">
        <f>CORREL('Országok mutatói'!D$2:D$7, 'Országok mutatói'!$I$2:$I$7)</f>
        <v>3.8024037339879344E-2</v>
      </c>
      <c r="D4" s="54" t="str">
        <f t="shared" si="0"/>
        <v>pozitív (jó) hatás</v>
      </c>
      <c r="E4" s="55" t="s">
        <v>62</v>
      </c>
    </row>
    <row r="5" spans="1:5" x14ac:dyDescent="0.3">
      <c r="A5" s="43" t="s">
        <v>16</v>
      </c>
      <c r="B5" s="52">
        <f>'Elemzési irány'!C5</f>
        <v>1</v>
      </c>
      <c r="C5" s="53">
        <f>CORREL('Országok mutatói'!E$2:E$7, 'Országok mutatói'!$I$2:$I$7)</f>
        <v>-9.6936666099188776E-3</v>
      </c>
      <c r="D5" s="54" t="str">
        <f t="shared" si="0"/>
        <v>pozitív (jó) hatás</v>
      </c>
      <c r="E5" s="56" t="s">
        <v>63</v>
      </c>
    </row>
    <row r="6" spans="1:5" x14ac:dyDescent="0.3">
      <c r="A6" s="43" t="s">
        <v>17</v>
      </c>
      <c r="B6" s="52">
        <f>'Elemzési irány'!C6</f>
        <v>0</v>
      </c>
      <c r="C6" s="53">
        <f>CORREL('Országok mutatói'!F$2:F$7, 'Országok mutatói'!$I$2:$I$7)</f>
        <v>2.9565667346636463E-2</v>
      </c>
      <c r="D6" s="54" t="str">
        <f t="shared" si="0"/>
        <v>pozitív (jó) hatás</v>
      </c>
      <c r="E6" s="57" t="s">
        <v>64</v>
      </c>
    </row>
    <row r="7" spans="1:5" ht="28.8" x14ac:dyDescent="0.3">
      <c r="A7" s="43" t="s">
        <v>18</v>
      </c>
      <c r="B7" s="52">
        <f>'Elemzési irány'!C7</f>
        <v>1</v>
      </c>
      <c r="C7" s="53">
        <f>CORREL('Országok mutatói'!G$2:G$7, 'Országok mutatói'!$I$2:$I$7)</f>
        <v>-6.629006756337795E-2</v>
      </c>
      <c r="D7" s="54" t="str">
        <f t="shared" si="0"/>
        <v>pozitív (jó) hatás</v>
      </c>
      <c r="E7" s="55" t="s">
        <v>65</v>
      </c>
    </row>
    <row r="8" spans="1:5" x14ac:dyDescent="0.3">
      <c r="A8" s="43" t="s">
        <v>1</v>
      </c>
      <c r="B8" s="52">
        <f>'Elemzési irány'!C8</f>
        <v>0</v>
      </c>
      <c r="C8" s="53">
        <f>CORREL('Országok mutatói'!H$2:H$7, 'Országok mutatói'!$I2:$I$7)</f>
        <v>0.53609649693694272</v>
      </c>
      <c r="D8" s="54" t="str">
        <f t="shared" si="0"/>
        <v>pozitív (jó) hatás</v>
      </c>
      <c r="E8" s="57" t="s">
        <v>66</v>
      </c>
    </row>
    <row r="9" spans="1:5" x14ac:dyDescent="0.3">
      <c r="A9" s="43" t="s">
        <v>2</v>
      </c>
      <c r="B9" s="52">
        <f>'Elemzési irány'!D9</f>
        <v>0</v>
      </c>
      <c r="C9" s="53">
        <f>CORREL('Országok mutatói'!I$2:I$7, 'Országok mutatói'!$I$2:$I$7)</f>
        <v>1</v>
      </c>
      <c r="D9" s="54" t="str">
        <f t="shared" si="0"/>
        <v>pozitív (jó) hatás</v>
      </c>
      <c r="E9" s="57" t="s">
        <v>67</v>
      </c>
    </row>
    <row r="10" spans="1:5" x14ac:dyDescent="0.3">
      <c r="A10" s="43" t="s">
        <v>3</v>
      </c>
      <c r="B10" s="52">
        <f>'Elemzési irány'!D10</f>
        <v>0</v>
      </c>
      <c r="C10" s="53">
        <f>CORREL('Országok mutatói'!J$2:J$7, 'Országok mutatói'!$I$2:$I$7)</f>
        <v>-0.11856767913210244</v>
      </c>
      <c r="D10" s="54" t="str">
        <f t="shared" si="0"/>
        <v>negatív (rossz) hatás</v>
      </c>
      <c r="E10" s="57" t="s">
        <v>68</v>
      </c>
    </row>
    <row r="11" spans="1:5" ht="28.8" x14ac:dyDescent="0.3">
      <c r="A11" s="43" t="s">
        <v>4</v>
      </c>
      <c r="B11" s="52">
        <f>'Elemzési irány'!D11</f>
        <v>0</v>
      </c>
      <c r="C11" s="53">
        <f>CORREL('Országok mutatói'!K$2:K$7, 'Országok mutatói'!$I$2:$I$7)</f>
        <v>-0.17029575512864173</v>
      </c>
      <c r="D11" s="54" t="str">
        <f t="shared" si="0"/>
        <v>negatív (rossz) hatás</v>
      </c>
      <c r="E11" s="55" t="s">
        <v>76</v>
      </c>
    </row>
    <row r="12" spans="1:5" x14ac:dyDescent="0.3">
      <c r="A12" s="43" t="s">
        <v>5</v>
      </c>
      <c r="B12" s="52">
        <f>'Elemzési irány'!D12</f>
        <v>0</v>
      </c>
      <c r="C12" s="53">
        <f>CORREL('Országok mutatói'!K$2:K$7, 'Országok mutatói'!$I$2:$I$7)</f>
        <v>-0.17029575512864173</v>
      </c>
      <c r="D12" s="54" t="str">
        <f t="shared" si="0"/>
        <v>negatív (rossz) hatás</v>
      </c>
      <c r="E12" s="56" t="s">
        <v>69</v>
      </c>
    </row>
    <row r="13" spans="1:5" ht="57.6" x14ac:dyDescent="0.3">
      <c r="A13" s="43" t="s">
        <v>20</v>
      </c>
      <c r="B13" s="52">
        <f>'Elemzési irány'!D13</f>
        <v>1</v>
      </c>
      <c r="C13" s="53">
        <f>CORREL('Országok mutatói'!L$2:L$7, 'Országok mutatói'!$I$2:$I$7)</f>
        <v>-5.0047355896811793E-2</v>
      </c>
      <c r="D13" s="54" t="str">
        <f t="shared" si="0"/>
        <v>pozitív (jó) hatás</v>
      </c>
      <c r="E13" s="55" t="s">
        <v>78</v>
      </c>
    </row>
    <row r="14" spans="1:5" ht="28.8" x14ac:dyDescent="0.3">
      <c r="A14" s="43" t="s">
        <v>6</v>
      </c>
      <c r="B14" s="52">
        <f>'Elemzési irány'!D14</f>
        <v>0</v>
      </c>
      <c r="C14" s="53">
        <f>CORREL('Országok mutatói'!M$2:M$7, 'Országok mutatói'!$I$2:$I$7)</f>
        <v>0.31982498890845945</v>
      </c>
      <c r="D14" s="54" t="str">
        <f t="shared" si="0"/>
        <v>pozitív (jó) hatás</v>
      </c>
      <c r="E14" s="55" t="s">
        <v>77</v>
      </c>
    </row>
    <row r="15" spans="1:5" x14ac:dyDescent="0.3">
      <c r="A15" s="43" t="s">
        <v>19</v>
      </c>
      <c r="B15" s="52">
        <f>'Elemzési irány'!D15</f>
        <v>1</v>
      </c>
      <c r="C15" s="53">
        <f>CORREL('Országok mutatói'!N$2:N$7, 'Országok mutatói'!$I$2:$I$7)</f>
        <v>-4.9630046949610714E-2</v>
      </c>
      <c r="D15" s="54" t="str">
        <f t="shared" si="0"/>
        <v>pozitív (jó) hatás</v>
      </c>
      <c r="E15" s="57" t="s">
        <v>71</v>
      </c>
    </row>
    <row r="16" spans="1:5" x14ac:dyDescent="0.3">
      <c r="A16" s="43" t="s">
        <v>21</v>
      </c>
      <c r="B16" s="52">
        <f>'Elemzési irány'!D16</f>
        <v>1</v>
      </c>
      <c r="C16" s="53">
        <f>CORREL('Országok mutatói'!O$2:O$7, 'Országok mutatói'!$I$2:$I$7)</f>
        <v>1.5103440871470091E-2</v>
      </c>
      <c r="D16" s="54" t="str">
        <f t="shared" si="0"/>
        <v>negatív (rossz) hatás</v>
      </c>
      <c r="E16" s="57" t="s">
        <v>72</v>
      </c>
    </row>
    <row r="17" spans="1:5" x14ac:dyDescent="0.3">
      <c r="A17" s="43" t="s">
        <v>22</v>
      </c>
      <c r="B17" s="52">
        <f>'Elemzési irány'!D17</f>
        <v>1</v>
      </c>
      <c r="C17" s="53">
        <f>CORREL('Országok mutatói'!P$2:P$7, 'Országok mutatói'!$I$2:$I$7)</f>
        <v>0.32975341298934729</v>
      </c>
      <c r="D17" s="54" t="str">
        <f t="shared" si="0"/>
        <v>negatív (rossz) hatás</v>
      </c>
      <c r="E17" s="56" t="s">
        <v>73</v>
      </c>
    </row>
    <row r="18" spans="1:5" ht="28.8" x14ac:dyDescent="0.3">
      <c r="A18" s="43" t="s">
        <v>23</v>
      </c>
      <c r="B18" s="52">
        <f>'Elemzési irány'!D18</f>
        <v>1</v>
      </c>
      <c r="C18" s="53">
        <f>CORREL('Országok mutatói'!Q$2:Q$7, 'Országok mutatói'!$I$2:$I$7)</f>
        <v>-0.63645540653423016</v>
      </c>
      <c r="D18" s="54" t="str">
        <f t="shared" si="0"/>
        <v>pozitív (jó) hatás</v>
      </c>
      <c r="E18" s="55" t="s">
        <v>74</v>
      </c>
    </row>
    <row r="19" spans="1:5" ht="15" thickBot="1" x14ac:dyDescent="0.35">
      <c r="A19" s="44" t="s">
        <v>26</v>
      </c>
      <c r="B19" s="58">
        <f>'Elemzési irány'!D19</f>
        <v>1</v>
      </c>
      <c r="C19" s="59">
        <f>CORREL('Országok mutatói'!S$2:S$7, 'Országok mutatói'!$I$2:$I$7)</f>
        <v>-0.25189439303485883</v>
      </c>
      <c r="D19" s="60" t="str">
        <f t="shared" si="0"/>
        <v>pozitív (jó) hatás</v>
      </c>
      <c r="E19" s="61" t="s">
        <v>75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5"/>
  <sheetViews>
    <sheetView zoomScale="43" workbookViewId="0"/>
  </sheetViews>
  <sheetFormatPr defaultRowHeight="14.4" x14ac:dyDescent="0.3"/>
  <cols>
    <col min="1" max="1" width="41.109375" bestFit="1" customWidth="1"/>
    <col min="2" max="2" width="18.33203125" customWidth="1"/>
    <col min="3" max="3" width="15" bestFit="1" customWidth="1"/>
    <col min="4" max="4" width="37.44140625" bestFit="1" customWidth="1"/>
    <col min="5" max="12" width="15" bestFit="1" customWidth="1"/>
    <col min="13" max="13" width="16.21875" bestFit="1" customWidth="1"/>
    <col min="14" max="14" width="23.109375" bestFit="1" customWidth="1"/>
    <col min="15" max="15" width="28.6640625" bestFit="1" customWidth="1"/>
    <col min="16" max="16" width="39.6640625" bestFit="1" customWidth="1"/>
    <col min="17" max="17" width="41.21875" bestFit="1" customWidth="1"/>
    <col min="18" max="19" width="39" bestFit="1" customWidth="1"/>
  </cols>
  <sheetData>
    <row r="1" spans="1:19" ht="15" thickBot="1" x14ac:dyDescent="0.35">
      <c r="A1" s="3"/>
      <c r="B1" s="4" t="str">
        <f>'Országok mutatói'!B1</f>
        <v>Teljes terület (km²)</v>
      </c>
      <c r="C1" s="5" t="str">
        <f>'Országok mutatói'!C1</f>
        <v>Tiltott légterek (km²)</v>
      </c>
      <c r="D1" s="5" t="str">
        <f>'Országok mutatói'!D1</f>
        <v>Korlátozott légterek (km²)</v>
      </c>
      <c r="E1" s="5" t="str">
        <f>'Országok mutatói'!E1</f>
        <v>Katonai zónák (km²)</v>
      </c>
      <c r="F1" s="5" t="str">
        <f>'Országok mutatói'!F1</f>
        <v>Repülőtér zónák (km²)</v>
      </c>
      <c r="G1" s="5" t="str">
        <f>'Országok mutatói'!G1</f>
        <v>Természetvédelmi területek (km²)</v>
      </c>
      <c r="H1" s="5" t="str">
        <f>'Országok mutatói'!H1</f>
        <v>Szabad terület (km²)</v>
      </c>
      <c r="I1" s="5" t="str">
        <f>'Országok mutatói'!I1</f>
        <v>Szabad terület aránya (%)</v>
      </c>
      <c r="J1" s="5" t="str">
        <f>'Országok mutatói'!J1</f>
        <v>Regisztrált üzemeltetők</v>
      </c>
      <c r="K1" s="5" t="str">
        <f>'Országok mutatói'!K1</f>
        <v>Operatív engedélyek</v>
      </c>
      <c r="L1" s="5" t="str">
        <f>'Országok mutatói'!L1</f>
        <v>A1/A3 tanúsítványok</v>
      </c>
      <c r="M1" s="5" t="str">
        <f>'Országok mutatói'!M1</f>
        <v>A1/A3 tanusítvány arány (%)</v>
      </c>
      <c r="N1" s="5" t="str">
        <f>'Országok mutatói'!N1</f>
        <v>A2 tanúsítványok</v>
      </c>
      <c r="O1" s="5" t="str">
        <f>'Országok mutatói'!O1</f>
        <v>A2 tanusítvány arány (%)</v>
      </c>
      <c r="P1" s="5" t="str">
        <f>'Országok mutatói'!P1</f>
        <v>Tanusítvány/Üzemeltető arány</v>
      </c>
      <c r="Q1" s="5" t="str">
        <f>'Országok mutatói'!Q1</f>
        <v xml:space="preserve">Operatív engedély /Üzemeltető arány (%)  </v>
      </c>
      <c r="R1" s="5" t="str">
        <f>'Országok mutatói'!R1</f>
        <v>A2 tanusítvány / A1-A3 tanusítvány arány (%)</v>
      </c>
      <c r="S1" s="6" t="str">
        <f>'Országok mutatói'!S1</f>
        <v>Szabad terület / A1-A3 pilóta (km2/pilóta)</v>
      </c>
    </row>
    <row r="2" spans="1:19" x14ac:dyDescent="0.3">
      <c r="A2" s="1" t="str">
        <f ca="1">INDIRECT("'Országok mutatói'!" &amp; ADDRESS(1, ROW(A2)))</f>
        <v>Teljes terület (km²)</v>
      </c>
      <c r="B2" s="148">
        <f>CORREL(INDEX('Országok mutatói'!$B$2:$S$7,,COLUMN()-1), INDEX('Országok mutatói'!$B$2:$S$7,,ROW()-1))</f>
        <v>1</v>
      </c>
      <c r="C2" s="149">
        <f>CORREL(INDEX('Országok mutatói'!$B$2:$S$7,,COLUMN()-1), INDEX('Országok mutatói'!$B$2:$S$7,,ROW()-1))</f>
        <v>0.99740312162156597</v>
      </c>
      <c r="D2" s="149">
        <f>CORREL(INDEX('Országok mutatói'!$B$2:$S$7,,COLUMN()-1), INDEX('Országok mutatói'!$B$2:$S$7,,ROW()-1))</f>
        <v>0.94969752461298473</v>
      </c>
      <c r="E2" s="149">
        <f>CORREL(INDEX('Országok mutatói'!$B$2:$S$7,,COLUMN()-1), INDEX('Országok mutatói'!$B$2:$S$7,,ROW()-1))</f>
        <v>0.9285485346053759</v>
      </c>
      <c r="F2" s="149">
        <f>CORREL(INDEX('Országok mutatói'!$B$2:$S$7,,COLUMN()-1), INDEX('Országok mutatói'!$B$2:$S$7,,ROW()-1))</f>
        <v>0.95128328250697913</v>
      </c>
      <c r="G2" s="149">
        <f>CORREL(INDEX('Országok mutatói'!$B$2:$S$7,,COLUMN()-1), INDEX('Országok mutatói'!$B$2:$S$7,,ROW()-1))</f>
        <v>0.9244808366652757</v>
      </c>
      <c r="H2" s="149">
        <f>CORREL(INDEX('Országok mutatói'!$B$2:$S$7,,COLUMN()-1), INDEX('Országok mutatói'!$B$2:$S$7,,ROW()-1))</f>
        <v>0.954399701904041</v>
      </c>
      <c r="I2" s="149">
        <f>CORREL(INDEX('Országok mutatói'!$B$2:$S$7,,COLUMN()-1), INDEX('Országok mutatói'!$B$2:$S$7,,ROW()-1))</f>
        <v>0.29241351174972724</v>
      </c>
      <c r="J2" s="149">
        <f>CORREL(INDEX('Országok mutatói'!$B$2:$S$7,,COLUMN()-1), INDEX('Országok mutatói'!$B$2:$S$7,,ROW()-1))</f>
        <v>0.81913215722558319</v>
      </c>
      <c r="K2" s="149">
        <f>CORREL(INDEX('Országok mutatói'!$B$2:$S$7,,COLUMN()-1), INDEX('Országok mutatói'!$B$2:$S$7,,ROW()-1))</f>
        <v>0.75999369676666917</v>
      </c>
      <c r="L2" s="149">
        <f>CORREL(INDEX('Országok mutatói'!$B$2:$S$7,,COLUMN()-1), INDEX('Országok mutatói'!$B$2:$S$7,,ROW()-1))</f>
        <v>0.78978124093959567</v>
      </c>
      <c r="M2" s="149">
        <f>CORREL(INDEX('Országok mutatói'!$B$2:$S$7,,COLUMN()-1), INDEX('Országok mutatói'!$B$2:$S$7,,ROW()-1))</f>
        <v>-0.2517609195636708</v>
      </c>
      <c r="N2" s="149">
        <f>CORREL(INDEX('Országok mutatói'!$B$2:$S$7,,COLUMN()-1), INDEX('Országok mutatói'!$B$2:$S$7,,ROW()-1))</f>
        <v>0.8742676367497787</v>
      </c>
      <c r="O2" s="149">
        <f>CORREL(INDEX('Országok mutatói'!$B$2:$S$7,,COLUMN()-1), INDEX('Országok mutatói'!$B$2:$S$7,,ROW()-1))</f>
        <v>-1.4828866847592553E-2</v>
      </c>
      <c r="P2" s="149">
        <f>CORREL(INDEX('Országok mutatói'!$B$2:$S$7,,COLUMN()-1), INDEX('Országok mutatói'!$B$2:$S$7,,ROW()-1))</f>
        <v>-0.26019695254957764</v>
      </c>
      <c r="Q2" s="149">
        <f>CORREL(INDEX('Országok mutatói'!$B$2:$S$7,,COLUMN()-1), INDEX('Országok mutatói'!$B$2:$S$7,,ROW()-1))</f>
        <v>-0.72487896443401245</v>
      </c>
      <c r="R2" s="149">
        <f>CORREL(INDEX('Országok mutatói'!$B$2:$S$7,,COLUMN()-1), INDEX('Országok mutatói'!$B$2:$S$7,,ROW()-1))</f>
        <v>-0.1592410901299994</v>
      </c>
      <c r="S2" s="150">
        <f>CORREL(INDEX('Országok mutatói'!$B$2:$S$7,,COLUMN()-1), INDEX('Országok mutatói'!$B$2:$S$7,,ROW()-1))</f>
        <v>-0.33004519102524688</v>
      </c>
    </row>
    <row r="3" spans="1:19" x14ac:dyDescent="0.3">
      <c r="A3" s="1" t="str">
        <f t="shared" ref="A3:A19" ca="1" si="0">INDIRECT("'Országok mutatói'!" &amp; ADDRESS(1, ROW(A3)))</f>
        <v>Tiltott légterek (km²)</v>
      </c>
      <c r="B3" s="151">
        <f>CORREL(INDEX('Országok mutatói'!$B$2:$S$7,,COLUMN()-1), INDEX('Országok mutatói'!$B$2:$S$7,,ROW()-1))</f>
        <v>0.99740312162156597</v>
      </c>
      <c r="C3" s="152">
        <f>CORREL(INDEX('Országok mutatói'!$B$2:$S$7,,COLUMN()-1), INDEX('Országok mutatói'!$B$2:$S$7,,ROW()-1))</f>
        <v>1</v>
      </c>
      <c r="D3" s="152">
        <f>CORREL(INDEX('Országok mutatói'!$B$2:$S$7,,COLUMN()-1), INDEX('Országok mutatói'!$B$2:$S$7,,ROW()-1))</f>
        <v>0.93974419641275486</v>
      </c>
      <c r="E3" s="152">
        <f>CORREL(INDEX('Országok mutatói'!$B$2:$S$7,,COLUMN()-1), INDEX('Országok mutatói'!$B$2:$S$7,,ROW()-1))</f>
        <v>0.91704350715646499</v>
      </c>
      <c r="F3" s="152">
        <f>CORREL(INDEX('Országok mutatói'!$B$2:$S$7,,COLUMN()-1), INDEX('Országok mutatói'!$B$2:$S$7,,ROW()-1))</f>
        <v>0.9439873509530462</v>
      </c>
      <c r="G3" s="152">
        <f>CORREL(INDEX('Országok mutatói'!$B$2:$S$7,,COLUMN()-1), INDEX('Országok mutatói'!$B$2:$S$7,,ROW()-1))</f>
        <v>0.92251756628617021</v>
      </c>
      <c r="H3" s="152">
        <f>CORREL(INDEX('Országok mutatói'!$B$2:$S$7,,COLUMN()-1), INDEX('Országok mutatói'!$B$2:$S$7,,ROW()-1))</f>
        <v>0.95469112149753943</v>
      </c>
      <c r="I3" s="152">
        <f>CORREL(INDEX('Országok mutatói'!$B$2:$S$7,,COLUMN()-1), INDEX('Országok mutatói'!$B$2:$S$7,,ROW()-1))</f>
        <v>0.27174218473070644</v>
      </c>
      <c r="J3" s="152">
        <f>CORREL(INDEX('Országok mutatói'!$B$2:$S$7,,COLUMN()-1), INDEX('Országok mutatói'!$B$2:$S$7,,ROW()-1))</f>
        <v>0.79527120918603045</v>
      </c>
      <c r="K3" s="152">
        <f>CORREL(INDEX('Országok mutatói'!$B$2:$S$7,,COLUMN()-1), INDEX('Országok mutatói'!$B$2:$S$7,,ROW()-1))</f>
        <v>0.73503568050228074</v>
      </c>
      <c r="L3" s="152">
        <f>CORREL(INDEX('Országok mutatói'!$B$2:$S$7,,COLUMN()-1), INDEX('Országok mutatói'!$B$2:$S$7,,ROW()-1))</f>
        <v>0.7567593365272568</v>
      </c>
      <c r="M3" s="152">
        <f>CORREL(INDEX('Országok mutatói'!$B$2:$S$7,,COLUMN()-1), INDEX('Országok mutatói'!$B$2:$S$7,,ROW()-1))</f>
        <v>-0.30097950302939597</v>
      </c>
      <c r="N3" s="152">
        <f>CORREL(INDEX('Országok mutatói'!$B$2:$S$7,,COLUMN()-1), INDEX('Országok mutatói'!$B$2:$S$7,,ROW()-1))</f>
        <v>0.85388870452136034</v>
      </c>
      <c r="O3" s="152">
        <f>CORREL(INDEX('Országok mutatói'!$B$2:$S$7,,COLUMN()-1), INDEX('Országok mutatói'!$B$2:$S$7,,ROW()-1))</f>
        <v>4.3979075390398421E-2</v>
      </c>
      <c r="P3" s="152">
        <f>CORREL(INDEX('Országok mutatói'!$B$2:$S$7,,COLUMN()-1), INDEX('Országok mutatói'!$B$2:$S$7,,ROW()-1))</f>
        <v>-0.29803896546297187</v>
      </c>
      <c r="Q3" s="152">
        <f>CORREL(INDEX('Országok mutatói'!$B$2:$S$7,,COLUMN()-1), INDEX('Országok mutatói'!$B$2:$S$7,,ROW()-1))</f>
        <v>-0.69737297469202841</v>
      </c>
      <c r="R3" s="152">
        <f>CORREL(INDEX('Országok mutatói'!$B$2:$S$7,,COLUMN()-1), INDEX('Országok mutatói'!$B$2:$S$7,,ROW()-1))</f>
        <v>-0.10327951067762989</v>
      </c>
      <c r="S3" s="153">
        <f>CORREL(INDEX('Országok mutatói'!$B$2:$S$7,,COLUMN()-1), INDEX('Országok mutatói'!$B$2:$S$7,,ROW()-1))</f>
        <v>-0.317519766893815</v>
      </c>
    </row>
    <row r="4" spans="1:19" x14ac:dyDescent="0.3">
      <c r="A4" s="1" t="str">
        <f t="shared" ca="1" si="0"/>
        <v>Korlátozott légterek (km²)</v>
      </c>
      <c r="B4" s="151">
        <f>CORREL(INDEX('Országok mutatói'!$B$2:$S$7,,COLUMN()-1), INDEX('Országok mutatói'!$B$2:$S$7,,ROW()-1))</f>
        <v>0.94969752461298473</v>
      </c>
      <c r="C4" s="152">
        <f>CORREL(INDEX('Országok mutatói'!$B$2:$S$7,,COLUMN()-1), INDEX('Országok mutatói'!$B$2:$S$7,,ROW()-1))</f>
        <v>0.93974419641275486</v>
      </c>
      <c r="D4" s="152">
        <f>CORREL(INDEX('Országok mutatói'!$B$2:$S$7,,COLUMN()-1), INDEX('Országok mutatói'!$B$2:$S$7,,ROW()-1))</f>
        <v>1.0000000000000002</v>
      </c>
      <c r="E4" s="152">
        <f>CORREL(INDEX('Országok mutatói'!$B$2:$S$7,,COLUMN()-1), INDEX('Országok mutatói'!$B$2:$S$7,,ROW()-1))</f>
        <v>0.99802951113165239</v>
      </c>
      <c r="F4" s="152">
        <f>CORREL(INDEX('Országok mutatói'!$B$2:$S$7,,COLUMN()-1), INDEX('Országok mutatói'!$B$2:$S$7,,ROW()-1))</f>
        <v>0.99859188231566565</v>
      </c>
      <c r="G4" s="152">
        <f>CORREL(INDEX('Országok mutatói'!$B$2:$S$7,,COLUMN()-1), INDEX('Országok mutatói'!$B$2:$S$7,,ROW()-1))</f>
        <v>0.98846241323430983</v>
      </c>
      <c r="H4" s="152">
        <f>CORREL(INDEX('Országok mutatói'!$B$2:$S$7,,COLUMN()-1), INDEX('Országok mutatói'!$B$2:$S$7,,ROW()-1))</f>
        <v>0.81499441271372475</v>
      </c>
      <c r="I4" s="152">
        <f>CORREL(INDEX('Országok mutatói'!$B$2:$S$7,,COLUMN()-1), INDEX('Országok mutatói'!$B$2:$S$7,,ROW()-1))</f>
        <v>3.8024037339879344E-2</v>
      </c>
      <c r="J4" s="152">
        <f>CORREL(INDEX('Országok mutatói'!$B$2:$S$7,,COLUMN()-1), INDEX('Országok mutatói'!$B$2:$S$7,,ROW()-1))</f>
        <v>0.94809289773888061</v>
      </c>
      <c r="K4" s="152">
        <f>CORREL(INDEX('Országok mutatói'!$B$2:$S$7,,COLUMN()-1), INDEX('Országok mutatói'!$B$2:$S$7,,ROW()-1))</f>
        <v>0.90374149647732349</v>
      </c>
      <c r="L4" s="152">
        <f>CORREL(INDEX('Országok mutatói'!$B$2:$S$7,,COLUMN()-1), INDEX('Országok mutatói'!$B$2:$S$7,,ROW()-1))</f>
        <v>0.92269403445178155</v>
      </c>
      <c r="M4" s="152">
        <f>CORREL(INDEX('Országok mutatói'!$B$2:$S$7,,COLUMN()-1), INDEX('Országok mutatói'!$B$2:$S$7,,ROW()-1))</f>
        <v>-0.22267129230452637</v>
      </c>
      <c r="N4" s="152">
        <f>CORREL(INDEX('Országok mutatói'!$B$2:$S$7,,COLUMN()-1), INDEX('Országok mutatói'!$B$2:$S$7,,ROW()-1))</f>
        <v>0.97420917025983944</v>
      </c>
      <c r="O4" s="152">
        <f>CORREL(INDEX('Országok mutatói'!$B$2:$S$7,,COLUMN()-1), INDEX('Országok mutatói'!$B$2:$S$7,,ROW()-1))</f>
        <v>-0.16393812686470827</v>
      </c>
      <c r="P4" s="152">
        <f>CORREL(INDEX('Országok mutatói'!$B$2:$S$7,,COLUMN()-1), INDEX('Országok mutatói'!$B$2:$S$7,,ROW()-1))</f>
        <v>-0.26196992007572351</v>
      </c>
      <c r="Q4" s="152">
        <f>CORREL(INDEX('Országok mutatói'!$B$2:$S$7,,COLUMN()-1), INDEX('Országok mutatói'!$B$2:$S$7,,ROW()-1))</f>
        <v>-0.63503095777029361</v>
      </c>
      <c r="R4" s="152">
        <f>CORREL(INDEX('Országok mutatói'!$B$2:$S$7,,COLUMN()-1), INDEX('Országok mutatói'!$B$2:$S$7,,ROW()-1))</f>
        <v>-0.28211003526322692</v>
      </c>
      <c r="S4" s="153">
        <f>CORREL(INDEX('Országok mutatói'!$B$2:$S$7,,COLUMN()-1), INDEX('Országok mutatói'!$B$2:$S$7,,ROW()-1))</f>
        <v>-0.29973074905731456</v>
      </c>
    </row>
    <row r="5" spans="1:19" x14ac:dyDescent="0.3">
      <c r="A5" s="1" t="str">
        <f t="shared" ca="1" si="0"/>
        <v>Katonai zónák (km²)</v>
      </c>
      <c r="B5" s="151">
        <f>CORREL(INDEX('Országok mutatói'!$B$2:$S$7,,COLUMN()-1), INDEX('Országok mutatói'!$B$2:$S$7,,ROW()-1))</f>
        <v>0.9285485346053759</v>
      </c>
      <c r="C5" s="152">
        <f>CORREL(INDEX('Országok mutatói'!$B$2:$S$7,,COLUMN()-1), INDEX('Országok mutatói'!$B$2:$S$7,,ROW()-1))</f>
        <v>0.91704350715646499</v>
      </c>
      <c r="D5" s="152">
        <f>CORREL(INDEX('Országok mutatói'!$B$2:$S$7,,COLUMN()-1), INDEX('Országok mutatói'!$B$2:$S$7,,ROW()-1))</f>
        <v>0.99802951113165239</v>
      </c>
      <c r="E5" s="152">
        <f>CORREL(INDEX('Országok mutatói'!$B$2:$S$7,,COLUMN()-1), INDEX('Országok mutatói'!$B$2:$S$7,,ROW()-1))</f>
        <v>1.0000000000000002</v>
      </c>
      <c r="F5" s="152">
        <f>CORREL(INDEX('Országok mutatói'!$B$2:$S$7,,COLUMN()-1), INDEX('Országok mutatói'!$B$2:$S$7,,ROW()-1))</f>
        <v>0.99616306336180038</v>
      </c>
      <c r="G5" s="152">
        <f>CORREL(INDEX('Országok mutatói'!$B$2:$S$7,,COLUMN()-1), INDEX('Országok mutatói'!$B$2:$S$7,,ROW()-1))</f>
        <v>0.98943705362525691</v>
      </c>
      <c r="H5" s="152">
        <f>CORREL(INDEX('Országok mutatói'!$B$2:$S$7,,COLUMN()-1), INDEX('Országok mutatói'!$B$2:$S$7,,ROW()-1))</f>
        <v>0.77803856255573955</v>
      </c>
      <c r="I5" s="152">
        <f>CORREL(INDEX('Országok mutatói'!$B$2:$S$7,,COLUMN()-1), INDEX('Országok mutatói'!$B$2:$S$7,,ROW()-1))</f>
        <v>-9.6936666099188776E-3</v>
      </c>
      <c r="J5" s="152">
        <f>CORREL(INDEX('Országok mutatói'!$B$2:$S$7,,COLUMN()-1), INDEX('Országok mutatói'!$B$2:$S$7,,ROW()-1))</f>
        <v>0.961630605699476</v>
      </c>
      <c r="K5" s="152">
        <f>CORREL(INDEX('Országok mutatói'!$B$2:$S$7,,COLUMN()-1), INDEX('Országok mutatói'!$B$2:$S$7,,ROW()-1))</f>
        <v>0.92141499844626407</v>
      </c>
      <c r="L5" s="152">
        <f>CORREL(INDEX('Országok mutatói'!$B$2:$S$7,,COLUMN()-1), INDEX('Országok mutatói'!$B$2:$S$7,,ROW()-1))</f>
        <v>0.93848068065054657</v>
      </c>
      <c r="M5" s="152">
        <f>CORREL(INDEX('Országok mutatói'!$B$2:$S$7,,COLUMN()-1), INDEX('Országok mutatói'!$B$2:$S$7,,ROW()-1))</f>
        <v>-0.20469441607006983</v>
      </c>
      <c r="N5" s="152">
        <f>CORREL(INDEX('Országok mutatói'!$B$2:$S$7,,COLUMN()-1), INDEX('Országok mutatói'!$B$2:$S$7,,ROW()-1))</f>
        <v>0.98201083407811585</v>
      </c>
      <c r="O5" s="152">
        <f>CORREL(INDEX('Országok mutatói'!$B$2:$S$7,,COLUMN()-1), INDEX('Országok mutatói'!$B$2:$S$7,,ROW()-1))</f>
        <v>-0.18738321285213219</v>
      </c>
      <c r="P5" s="152">
        <f>CORREL(INDEX('Országok mutatói'!$B$2:$S$7,,COLUMN()-1), INDEX('Országok mutatói'!$B$2:$S$7,,ROW()-1))</f>
        <v>-0.24856323726629206</v>
      </c>
      <c r="Q5" s="152">
        <f>CORREL(INDEX('Országok mutatói'!$B$2:$S$7,,COLUMN()-1), INDEX('Országok mutatói'!$B$2:$S$7,,ROW()-1))</f>
        <v>-0.61246208788844136</v>
      </c>
      <c r="R5" s="152">
        <f>CORREL(INDEX('Országok mutatói'!$B$2:$S$7,,COLUMN()-1), INDEX('Országok mutatói'!$B$2:$S$7,,ROW()-1))</f>
        <v>-0.30902473887506537</v>
      </c>
      <c r="S5" s="153">
        <f>CORREL(INDEX('Országok mutatói'!$B$2:$S$7,,COLUMN()-1), INDEX('Országok mutatói'!$B$2:$S$7,,ROW()-1))</f>
        <v>-0.29987048938642696</v>
      </c>
    </row>
    <row r="6" spans="1:19" x14ac:dyDescent="0.3">
      <c r="A6" s="1" t="str">
        <f t="shared" ca="1" si="0"/>
        <v>Repülőtér zónák (km²)</v>
      </c>
      <c r="B6" s="151">
        <f>CORREL(INDEX('Országok mutatói'!$B$2:$S$7,,COLUMN()-1), INDEX('Országok mutatói'!$B$2:$S$7,,ROW()-1))</f>
        <v>0.95128328250697913</v>
      </c>
      <c r="C6" s="152">
        <f>CORREL(INDEX('Országok mutatói'!$B$2:$S$7,,COLUMN()-1), INDEX('Országok mutatói'!$B$2:$S$7,,ROW()-1))</f>
        <v>0.9439873509530462</v>
      </c>
      <c r="D6" s="152">
        <f>CORREL(INDEX('Országok mutatói'!$B$2:$S$7,,COLUMN()-1), INDEX('Országok mutatói'!$B$2:$S$7,,ROW()-1))</f>
        <v>0.99859188231566565</v>
      </c>
      <c r="E6" s="152">
        <f>CORREL(INDEX('Országok mutatói'!$B$2:$S$7,,COLUMN()-1), INDEX('Országok mutatói'!$B$2:$S$7,,ROW()-1))</f>
        <v>0.99616306336180038</v>
      </c>
      <c r="F6" s="152">
        <f>CORREL(INDEX('Országok mutatói'!$B$2:$S$7,,COLUMN()-1), INDEX('Országok mutatói'!$B$2:$S$7,,ROW()-1))</f>
        <v>1</v>
      </c>
      <c r="G6" s="152">
        <f>CORREL(INDEX('Országok mutatói'!$B$2:$S$7,,COLUMN()-1), INDEX('Országok mutatói'!$B$2:$S$7,,ROW()-1))</f>
        <v>0.99356134517870021</v>
      </c>
      <c r="H6" s="152">
        <f>CORREL(INDEX('Országok mutatói'!$B$2:$S$7,,COLUMN()-1), INDEX('Országok mutatói'!$B$2:$S$7,,ROW()-1))</f>
        <v>0.816617177405636</v>
      </c>
      <c r="I6" s="152">
        <f>CORREL(INDEX('Országok mutatói'!$B$2:$S$7,,COLUMN()-1), INDEX('Országok mutatói'!$B$2:$S$7,,ROW()-1))</f>
        <v>2.9565667346636463E-2</v>
      </c>
      <c r="J6" s="152">
        <f>CORREL(INDEX('Országok mutatói'!$B$2:$S$7,,COLUMN()-1), INDEX('Országok mutatói'!$B$2:$S$7,,ROW()-1))</f>
        <v>0.93479811517311384</v>
      </c>
      <c r="K6" s="152">
        <f>CORREL(INDEX('Országok mutatói'!$B$2:$S$7,,COLUMN()-1), INDEX('Országok mutatói'!$B$2:$S$7,,ROW()-1))</f>
        <v>0.88589705480154324</v>
      </c>
      <c r="L6" s="152">
        <f>CORREL(INDEX('Országok mutatói'!$B$2:$S$7,,COLUMN()-1), INDEX('Országok mutatói'!$B$2:$S$7,,ROW()-1))</f>
        <v>0.90712504976465436</v>
      </c>
      <c r="M6" s="152">
        <f>CORREL(INDEX('Országok mutatói'!$B$2:$S$7,,COLUMN()-1), INDEX('Országok mutatói'!$B$2:$S$7,,ROW()-1))</f>
        <v>-0.24318539791142033</v>
      </c>
      <c r="N6" s="152">
        <f>CORREL(INDEX('Országok mutatói'!$B$2:$S$7,,COLUMN()-1), INDEX('Országok mutatói'!$B$2:$S$7,,ROW()-1))</f>
        <v>0.9631622625997065</v>
      </c>
      <c r="O6" s="152">
        <f>CORREL(INDEX('Országok mutatói'!$B$2:$S$7,,COLUMN()-1), INDEX('Országok mutatói'!$B$2:$S$7,,ROW()-1))</f>
        <v>-0.12203969381996212</v>
      </c>
      <c r="P6" s="152">
        <f>CORREL(INDEX('Országok mutatói'!$B$2:$S$7,,COLUMN()-1), INDEX('Országok mutatói'!$B$2:$S$7,,ROW()-1))</f>
        <v>-0.27407196474505696</v>
      </c>
      <c r="Q6" s="152">
        <f>CORREL(INDEX('Országok mutatói'!$B$2:$S$7,,COLUMN()-1), INDEX('Országok mutatói'!$B$2:$S$7,,ROW()-1))</f>
        <v>-0.64005651577619727</v>
      </c>
      <c r="R6" s="152">
        <f>CORREL(INDEX('Országok mutatói'!$B$2:$S$7,,COLUMN()-1), INDEX('Országok mutatói'!$B$2:$S$7,,ROW()-1))</f>
        <v>-0.24516936978958881</v>
      </c>
      <c r="S6" s="153">
        <f>CORREL(INDEX('Országok mutatói'!$B$2:$S$7,,COLUMN()-1), INDEX('Országok mutatói'!$B$2:$S$7,,ROW()-1))</f>
        <v>-0.29278229024891766</v>
      </c>
    </row>
    <row r="7" spans="1:19" x14ac:dyDescent="0.3">
      <c r="A7" s="1" t="str">
        <f t="shared" ca="1" si="0"/>
        <v>Természetvédelmi területek (km²)</v>
      </c>
      <c r="B7" s="151">
        <f>CORREL(INDEX('Országok mutatói'!$B$2:$S$7,,COLUMN()-1), INDEX('Országok mutatói'!$B$2:$S$7,,ROW()-1))</f>
        <v>0.9244808366652757</v>
      </c>
      <c r="C7" s="152">
        <f>CORREL(INDEX('Országok mutatói'!$B$2:$S$7,,COLUMN()-1), INDEX('Országok mutatói'!$B$2:$S$7,,ROW()-1))</f>
        <v>0.92251756628617021</v>
      </c>
      <c r="D7" s="152">
        <f>CORREL(INDEX('Országok mutatói'!$B$2:$S$7,,COLUMN()-1), INDEX('Országok mutatói'!$B$2:$S$7,,ROW()-1))</f>
        <v>0.98846241323430983</v>
      </c>
      <c r="E7" s="152">
        <f>CORREL(INDEX('Országok mutatói'!$B$2:$S$7,,COLUMN()-1), INDEX('Országok mutatói'!$B$2:$S$7,,ROW()-1))</f>
        <v>0.98943705362525691</v>
      </c>
      <c r="F7" s="152">
        <f>CORREL(INDEX('Országok mutatói'!$B$2:$S$7,,COLUMN()-1), INDEX('Országok mutatói'!$B$2:$S$7,,ROW()-1))</f>
        <v>0.99356134517870021</v>
      </c>
      <c r="G7" s="152">
        <f>CORREL(INDEX('Országok mutatói'!$B$2:$S$7,,COLUMN()-1), INDEX('Országok mutatói'!$B$2:$S$7,,ROW()-1))</f>
        <v>1</v>
      </c>
      <c r="H7" s="152">
        <f>CORREL(INDEX('Országok mutatói'!$B$2:$S$7,,COLUMN()-1), INDEX('Országok mutatói'!$B$2:$S$7,,ROW()-1))</f>
        <v>0.77061946549706128</v>
      </c>
      <c r="I7" s="152">
        <f>CORREL(INDEX('Országok mutatói'!$B$2:$S$7,,COLUMN()-1), INDEX('Országok mutatói'!$B$2:$S$7,,ROW()-1))</f>
        <v>-6.629006756337795E-2</v>
      </c>
      <c r="J7" s="152">
        <f>CORREL(INDEX('Országok mutatói'!$B$2:$S$7,,COLUMN()-1), INDEX('Országok mutatói'!$B$2:$S$7,,ROW()-1))</f>
        <v>0.92416534700050856</v>
      </c>
      <c r="K7" s="152">
        <f>CORREL(INDEX('Országok mutatói'!$B$2:$S$7,,COLUMN()-1), INDEX('Országok mutatói'!$B$2:$S$7,,ROW()-1))</f>
        <v>0.87857992624726555</v>
      </c>
      <c r="L7" s="152">
        <f>CORREL(INDEX('Országok mutatói'!$B$2:$S$7,,COLUMN()-1), INDEX('Országok mutatói'!$B$2:$S$7,,ROW()-1))</f>
        <v>0.8870876670417952</v>
      </c>
      <c r="M7" s="152">
        <f>CORREL(INDEX('Országok mutatói'!$B$2:$S$7,,COLUMN()-1), INDEX('Országok mutatói'!$B$2:$S$7,,ROW()-1))</f>
        <v>-0.28627932732517725</v>
      </c>
      <c r="N7" s="152">
        <f>CORREL(INDEX('Országok mutatói'!$B$2:$S$7,,COLUMN()-1), INDEX('Országok mutatói'!$B$2:$S$7,,ROW()-1))</f>
        <v>0.95001855386596434</v>
      </c>
      <c r="O7" s="152">
        <f>CORREL(INDEX('Országok mutatói'!$B$2:$S$7,,COLUMN()-1), INDEX('Országok mutatói'!$B$2:$S$7,,ROW()-1))</f>
        <v>-6.4203159915991584E-2</v>
      </c>
      <c r="P7" s="152">
        <f>CORREL(INDEX('Országok mutatói'!$B$2:$S$7,,COLUMN()-1), INDEX('Országok mutatói'!$B$2:$S$7,,ROW()-1))</f>
        <v>-0.30586530399759787</v>
      </c>
      <c r="Q7" s="152">
        <f>CORREL(INDEX('Országok mutatói'!$B$2:$S$7,,COLUMN()-1), INDEX('Országok mutatói'!$B$2:$S$7,,ROW()-1))</f>
        <v>-0.57747813739793874</v>
      </c>
      <c r="R7" s="152">
        <f>CORREL(INDEX('Országok mutatói'!$B$2:$S$7,,COLUMN()-1), INDEX('Országok mutatói'!$B$2:$S$7,,ROW()-1))</f>
        <v>-0.20310114124494519</v>
      </c>
      <c r="S7" s="153">
        <f>CORREL(INDEX('Országok mutatói'!$B$2:$S$7,,COLUMN()-1), INDEX('Országok mutatói'!$B$2:$S$7,,ROW()-1))</f>
        <v>-0.2810857909883086</v>
      </c>
    </row>
    <row r="8" spans="1:19" x14ac:dyDescent="0.3">
      <c r="A8" s="1" t="str">
        <f t="shared" ca="1" si="0"/>
        <v>Szabad terület (km²)</v>
      </c>
      <c r="B8" s="151">
        <f>CORREL(INDEX('Országok mutatói'!$B$2:$S$7,,COLUMN()-1), INDEX('Országok mutatói'!$B$2:$S$7,,ROW()-1))</f>
        <v>0.954399701904041</v>
      </c>
      <c r="C8" s="152">
        <f>CORREL(INDEX('Országok mutatói'!$B$2:$S$7,,COLUMN()-1), INDEX('Országok mutatói'!$B$2:$S$7,,ROW()-1))</f>
        <v>0.95469112149753943</v>
      </c>
      <c r="D8" s="152">
        <f>CORREL(INDEX('Országok mutatói'!$B$2:$S$7,,COLUMN()-1), INDEX('Országok mutatói'!$B$2:$S$7,,ROW()-1))</f>
        <v>0.81499441271372475</v>
      </c>
      <c r="E8" s="152">
        <f>CORREL(INDEX('Országok mutatói'!$B$2:$S$7,,COLUMN()-1), INDEX('Országok mutatói'!$B$2:$S$7,,ROW()-1))</f>
        <v>0.77803856255573955</v>
      </c>
      <c r="F8" s="152">
        <f>CORREL(INDEX('Országok mutatói'!$B$2:$S$7,,COLUMN()-1), INDEX('Országok mutatói'!$B$2:$S$7,,ROW()-1))</f>
        <v>0.816617177405636</v>
      </c>
      <c r="G8" s="152">
        <f>CORREL(INDEX('Országok mutatói'!$B$2:$S$7,,COLUMN()-1), INDEX('Országok mutatói'!$B$2:$S$7,,ROW()-1))</f>
        <v>0.77061946549706128</v>
      </c>
      <c r="H8" s="152">
        <f>CORREL(INDEX('Országok mutatói'!$B$2:$S$7,,COLUMN()-1), INDEX('Országok mutatói'!$B$2:$S$7,,ROW()-1))</f>
        <v>0.99999999999999989</v>
      </c>
      <c r="I8" s="152">
        <f>CORREL(INDEX('Országok mutatói'!$B$2:$S$7,,COLUMN()-1), INDEX('Országok mutatói'!$B$2:$S$7,,ROW()-1))</f>
        <v>0.53609649693694272</v>
      </c>
      <c r="J8" s="152">
        <f>CORREL(INDEX('Országok mutatói'!$B$2:$S$7,,COLUMN()-1), INDEX('Országok mutatói'!$B$2:$S$7,,ROW()-1))</f>
        <v>0.63254549925815884</v>
      </c>
      <c r="K8" s="152">
        <f>CORREL(INDEX('Országok mutatói'!$B$2:$S$7,,COLUMN()-1), INDEX('Országok mutatói'!$B$2:$S$7,,ROW()-1))</f>
        <v>0.56603061747892103</v>
      </c>
      <c r="L8" s="152">
        <f>CORREL(INDEX('Országok mutatói'!$B$2:$S$7,,COLUMN()-1), INDEX('Országok mutatói'!$B$2:$S$7,,ROW()-1))</f>
        <v>0.60967439870813878</v>
      </c>
      <c r="M8" s="152">
        <f>CORREL(INDEX('Országok mutatói'!$B$2:$S$7,,COLUMN()-1), INDEX('Országok mutatói'!$B$2:$S$7,,ROW()-1))</f>
        <v>-0.2149194524088904</v>
      </c>
      <c r="N8" s="152">
        <f>CORREL(INDEX('Országok mutatói'!$B$2:$S$7,,COLUMN()-1), INDEX('Országok mutatói'!$B$2:$S$7,,ROW()-1))</f>
        <v>0.70791965552299474</v>
      </c>
      <c r="O8" s="152">
        <f>CORREL(INDEX('Országok mutatói'!$B$2:$S$7,,COLUMN()-1), INDEX('Országok mutatói'!$B$2:$S$7,,ROW()-1))</f>
        <v>7.7672887476988292E-2</v>
      </c>
      <c r="P8" s="152">
        <f>CORREL(INDEX('Országok mutatói'!$B$2:$S$7,,COLUMN()-1), INDEX('Országok mutatói'!$B$2:$S$7,,ROW()-1))</f>
        <v>-0.20305275697974778</v>
      </c>
      <c r="Q8" s="152">
        <f>CORREL(INDEX('Országok mutatói'!$B$2:$S$7,,COLUMN()-1), INDEX('Országok mutatói'!$B$2:$S$7,,ROW()-1))</f>
        <v>-0.7644145256254431</v>
      </c>
      <c r="R8" s="152">
        <f>CORREL(INDEX('Országok mutatói'!$B$2:$S$7,,COLUMN()-1), INDEX('Országok mutatói'!$B$2:$S$7,,ROW()-1))</f>
        <v>-7.2252741845392779E-2</v>
      </c>
      <c r="S8" s="153">
        <f>CORREL(INDEX('Országok mutatói'!$B$2:$S$7,,COLUMN()-1), INDEX('Országok mutatói'!$B$2:$S$7,,ROW()-1))</f>
        <v>-0.33668426678073665</v>
      </c>
    </row>
    <row r="9" spans="1:19" x14ac:dyDescent="0.3">
      <c r="A9" s="1" t="str">
        <f t="shared" ca="1" si="0"/>
        <v>Szabad terület aránya (%)</v>
      </c>
      <c r="B9" s="151">
        <f>CORREL(INDEX('Országok mutatói'!$B$2:$S$7,,COLUMN()-1), INDEX('Országok mutatói'!$B$2:$S$7,,ROW()-1))</f>
        <v>0.29241351174972724</v>
      </c>
      <c r="C9" s="152">
        <f>CORREL(INDEX('Országok mutatói'!$B$2:$S$7,,COLUMN()-1), INDEX('Országok mutatói'!$B$2:$S$7,,ROW()-1))</f>
        <v>0.27174218473070644</v>
      </c>
      <c r="D9" s="152">
        <f>CORREL(INDEX('Országok mutatói'!$B$2:$S$7,,COLUMN()-1), INDEX('Országok mutatói'!$B$2:$S$7,,ROW()-1))</f>
        <v>3.8024037339879344E-2</v>
      </c>
      <c r="E9" s="152">
        <f>CORREL(INDEX('Országok mutatói'!$B$2:$S$7,,COLUMN()-1), INDEX('Országok mutatói'!$B$2:$S$7,,ROW()-1))</f>
        <v>-9.6936666099188776E-3</v>
      </c>
      <c r="F9" s="152">
        <f>CORREL(INDEX('Országok mutatói'!$B$2:$S$7,,COLUMN()-1), INDEX('Országok mutatói'!$B$2:$S$7,,ROW()-1))</f>
        <v>2.9565667346636463E-2</v>
      </c>
      <c r="G9" s="152">
        <f>CORREL(INDEX('Országok mutatói'!$B$2:$S$7,,COLUMN()-1), INDEX('Országok mutatói'!$B$2:$S$7,,ROW()-1))</f>
        <v>-6.629006756337795E-2</v>
      </c>
      <c r="H9" s="152">
        <f>CORREL(INDEX('Országok mutatói'!$B$2:$S$7,,COLUMN()-1), INDEX('Országok mutatói'!$B$2:$S$7,,ROW()-1))</f>
        <v>0.53609649693694272</v>
      </c>
      <c r="I9" s="152">
        <f>CORREL(INDEX('Országok mutatói'!$B$2:$S$7,,COLUMN()-1), INDEX('Országok mutatói'!$B$2:$S$7,,ROW()-1))</f>
        <v>1</v>
      </c>
      <c r="J9" s="152">
        <f>CORREL(INDEX('Országok mutatói'!$B$2:$S$7,,COLUMN()-1), INDEX('Országok mutatói'!$B$2:$S$7,,ROW()-1))</f>
        <v>-0.11856767913210244</v>
      </c>
      <c r="K9" s="152">
        <f>CORREL(INDEX('Országok mutatói'!$B$2:$S$7,,COLUMN()-1), INDEX('Országok mutatói'!$B$2:$S$7,,ROW()-1))</f>
        <v>-0.17029575512864173</v>
      </c>
      <c r="L9" s="152">
        <f>CORREL(INDEX('Országok mutatói'!$B$2:$S$7,,COLUMN()-1), INDEX('Országok mutatói'!$B$2:$S$7,,ROW()-1))</f>
        <v>-5.0047355896811793E-2</v>
      </c>
      <c r="M9" s="152">
        <f>CORREL(INDEX('Országok mutatói'!$B$2:$S$7,,COLUMN()-1), INDEX('Országok mutatói'!$B$2:$S$7,,ROW()-1))</f>
        <v>0.31982498890845945</v>
      </c>
      <c r="N9" s="152">
        <f>CORREL(INDEX('Országok mutatói'!$B$2:$S$7,,COLUMN()-1), INDEX('Országok mutatói'!$B$2:$S$7,,ROW()-1))</f>
        <v>-4.9630046949610714E-2</v>
      </c>
      <c r="O9" s="152">
        <f>CORREL(INDEX('Országok mutatói'!$B$2:$S$7,,COLUMN()-1), INDEX('Országok mutatói'!$B$2:$S$7,,ROW()-1))</f>
        <v>1.5103440871470091E-2</v>
      </c>
      <c r="P9" s="152">
        <f>CORREL(INDEX('Országok mutatói'!$B$2:$S$7,,COLUMN()-1), INDEX('Országok mutatói'!$B$2:$S$7,,ROW()-1))</f>
        <v>0.32975341298934729</v>
      </c>
      <c r="Q9" s="152">
        <f>CORREL(INDEX('Országok mutatói'!$B$2:$S$7,,COLUMN()-1), INDEX('Országok mutatói'!$B$2:$S$7,,ROW()-1))</f>
        <v>-0.63645540653423016</v>
      </c>
      <c r="R9" s="152">
        <f>CORREL(INDEX('Országok mutatói'!$B$2:$S$7,,COLUMN()-1), INDEX('Országok mutatói'!$B$2:$S$7,,ROW()-1))</f>
        <v>-8.8893943931575403E-2</v>
      </c>
      <c r="S9" s="153">
        <f>CORREL(INDEX('Országok mutatói'!$B$2:$S$7,,COLUMN()-1), INDEX('Országok mutatói'!$B$2:$S$7,,ROW()-1))</f>
        <v>-0.25189439303485883</v>
      </c>
    </row>
    <row r="10" spans="1:19" x14ac:dyDescent="0.3">
      <c r="A10" s="1" t="str">
        <f t="shared" ca="1" si="0"/>
        <v>Regisztrált üzemeltetők</v>
      </c>
      <c r="B10" s="151">
        <f>CORREL(INDEX('Országok mutatói'!$B$2:$S$7,,COLUMN()-1), INDEX('Országok mutatói'!$B$2:$S$7,,ROW()-1))</f>
        <v>0.81913215722558319</v>
      </c>
      <c r="C10" s="152">
        <f>CORREL(INDEX('Országok mutatói'!$B$2:$S$7,,COLUMN()-1), INDEX('Országok mutatói'!$B$2:$S$7,,ROW()-1))</f>
        <v>0.79527120918603045</v>
      </c>
      <c r="D10" s="152">
        <f>CORREL(INDEX('Országok mutatói'!$B$2:$S$7,,COLUMN()-1), INDEX('Országok mutatói'!$B$2:$S$7,,ROW()-1))</f>
        <v>0.94809289773888061</v>
      </c>
      <c r="E10" s="152">
        <f>CORREL(INDEX('Országok mutatói'!$B$2:$S$7,,COLUMN()-1), INDEX('Országok mutatói'!$B$2:$S$7,,ROW()-1))</f>
        <v>0.961630605699476</v>
      </c>
      <c r="F10" s="152">
        <f>CORREL(INDEX('Országok mutatói'!$B$2:$S$7,,COLUMN()-1), INDEX('Országok mutatói'!$B$2:$S$7,,ROW()-1))</f>
        <v>0.93479811517311384</v>
      </c>
      <c r="G10" s="152">
        <f>CORREL(INDEX('Országok mutatói'!$B$2:$S$7,,COLUMN()-1), INDEX('Országok mutatói'!$B$2:$S$7,,ROW()-1))</f>
        <v>0.92416534700050856</v>
      </c>
      <c r="H10" s="152">
        <f>CORREL(INDEX('Országok mutatói'!$B$2:$S$7,,COLUMN()-1), INDEX('Országok mutatói'!$B$2:$S$7,,ROW()-1))</f>
        <v>0.63254549925815884</v>
      </c>
      <c r="I10" s="152">
        <f>CORREL(INDEX('Országok mutatói'!$B$2:$S$7,,COLUMN()-1), INDEX('Országok mutatói'!$B$2:$S$7,,ROW()-1))</f>
        <v>-0.11856767913210244</v>
      </c>
      <c r="J10" s="152">
        <f>CORREL(INDEX('Országok mutatói'!$B$2:$S$7,,COLUMN()-1), INDEX('Országok mutatói'!$B$2:$S$7,,ROW()-1))</f>
        <v>1</v>
      </c>
      <c r="K10" s="152">
        <f>CORREL(INDEX('Országok mutatói'!$B$2:$S$7,,COLUMN()-1), INDEX('Országok mutatói'!$B$2:$S$7,,ROW()-1))</f>
        <v>0.98347187472722319</v>
      </c>
      <c r="L10" s="152">
        <f>CORREL(INDEX('Országok mutatói'!$B$2:$S$7,,COLUMN()-1), INDEX('Országok mutatói'!$B$2:$S$7,,ROW()-1))</f>
        <v>0.98778986471092234</v>
      </c>
      <c r="M10" s="152">
        <f>CORREL(INDEX('Országok mutatói'!$B$2:$S$7,,COLUMN()-1), INDEX('Országok mutatói'!$B$2:$S$7,,ROW()-1))</f>
        <v>-0.11898159285794055</v>
      </c>
      <c r="N10" s="152">
        <f>CORREL(INDEX('Országok mutatói'!$B$2:$S$7,,COLUMN()-1), INDEX('Országok mutatói'!$B$2:$S$7,,ROW()-1))</f>
        <v>0.99421719999362757</v>
      </c>
      <c r="O10" s="152">
        <f>CORREL(INDEX('Országok mutatói'!$B$2:$S$7,,COLUMN()-1), INDEX('Országok mutatói'!$B$2:$S$7,,ROW()-1))</f>
        <v>-0.41285200412462575</v>
      </c>
      <c r="P10" s="152">
        <f>CORREL(INDEX('Országok mutatói'!$B$2:$S$7,,COLUMN()-1), INDEX('Országok mutatói'!$B$2:$S$7,,ROW()-1))</f>
        <v>-0.20863851501355202</v>
      </c>
      <c r="Q10" s="152">
        <f>CORREL(INDEX('Országok mutatói'!$B$2:$S$7,,COLUMN()-1), INDEX('Országok mutatói'!$B$2:$S$7,,ROW()-1))</f>
        <v>-0.49936093709771617</v>
      </c>
      <c r="R10" s="152">
        <f>CORREL(INDEX('Országok mutatói'!$B$2:$S$7,,COLUMN()-1), INDEX('Országok mutatói'!$B$2:$S$7,,ROW()-1))</f>
        <v>-0.4645635630767615</v>
      </c>
      <c r="S10" s="153">
        <f>CORREL(INDEX('Országok mutatói'!$B$2:$S$7,,COLUMN()-1), INDEX('Országok mutatói'!$B$2:$S$7,,ROW()-1))</f>
        <v>-0.25609573382147427</v>
      </c>
    </row>
    <row r="11" spans="1:19" x14ac:dyDescent="0.3">
      <c r="A11" s="1" t="str">
        <f t="shared" ca="1" si="0"/>
        <v>Operatív engedélyek</v>
      </c>
      <c r="B11" s="151">
        <f>CORREL(INDEX('Országok mutatói'!$B$2:$S$7,,COLUMN()-1), INDEX('Országok mutatói'!$B$2:$S$7,,ROW()-1))</f>
        <v>0.75999369676666917</v>
      </c>
      <c r="C11" s="152">
        <f>CORREL(INDEX('Országok mutatói'!$B$2:$S$7,,COLUMN()-1), INDEX('Országok mutatói'!$B$2:$S$7,,ROW()-1))</f>
        <v>0.73503568050228074</v>
      </c>
      <c r="D11" s="152">
        <f>CORREL(INDEX('Országok mutatói'!$B$2:$S$7,,COLUMN()-1), INDEX('Országok mutatói'!$B$2:$S$7,,ROW()-1))</f>
        <v>0.90374149647732349</v>
      </c>
      <c r="E11" s="152">
        <f>CORREL(INDEX('Országok mutatói'!$B$2:$S$7,,COLUMN()-1), INDEX('Országok mutatói'!$B$2:$S$7,,ROW()-1))</f>
        <v>0.92141499844626407</v>
      </c>
      <c r="F11" s="152">
        <f>CORREL(INDEX('Országok mutatói'!$B$2:$S$7,,COLUMN()-1), INDEX('Országok mutatói'!$B$2:$S$7,,ROW()-1))</f>
        <v>0.88589705480154324</v>
      </c>
      <c r="G11" s="152">
        <f>CORREL(INDEX('Országok mutatói'!$B$2:$S$7,,COLUMN()-1), INDEX('Országok mutatói'!$B$2:$S$7,,ROW()-1))</f>
        <v>0.87857992624726555</v>
      </c>
      <c r="H11" s="152">
        <f>CORREL(INDEX('Országok mutatói'!$B$2:$S$7,,COLUMN()-1), INDEX('Országok mutatói'!$B$2:$S$7,,ROW()-1))</f>
        <v>0.56603061747892103</v>
      </c>
      <c r="I11" s="152">
        <f>CORREL(INDEX('Országok mutatói'!$B$2:$S$7,,COLUMN()-1), INDEX('Országok mutatói'!$B$2:$S$7,,ROW()-1))</f>
        <v>-0.17029575512864173</v>
      </c>
      <c r="J11" s="152">
        <f>CORREL(INDEX('Országok mutatói'!$B$2:$S$7,,COLUMN()-1), INDEX('Országok mutatói'!$B$2:$S$7,,ROW()-1))</f>
        <v>0.98347187472722319</v>
      </c>
      <c r="K11" s="152">
        <f>CORREL(INDEX('Országok mutatói'!$B$2:$S$7,,COLUMN()-1), INDEX('Országok mutatói'!$B$2:$S$7,,ROW()-1))</f>
        <v>1.0000000000000002</v>
      </c>
      <c r="L11" s="152">
        <f>CORREL(INDEX('Országok mutatói'!$B$2:$S$7,,COLUMN()-1), INDEX('Országok mutatói'!$B$2:$S$7,,ROW()-1))</f>
        <v>0.97090278711203892</v>
      </c>
      <c r="M11" s="152">
        <f>CORREL(INDEX('Országok mutatói'!$B$2:$S$7,,COLUMN()-1), INDEX('Országok mutatói'!$B$2:$S$7,,ROW()-1))</f>
        <v>-3.1897478929939847E-2</v>
      </c>
      <c r="N11" s="152">
        <f>CORREL(INDEX('Országok mutatói'!$B$2:$S$7,,COLUMN()-1), INDEX('Országok mutatói'!$B$2:$S$7,,ROW()-1))</f>
        <v>0.97331192907296604</v>
      </c>
      <c r="O11" s="152">
        <f>CORREL(INDEX('Országok mutatói'!$B$2:$S$7,,COLUMN()-1), INDEX('Országok mutatói'!$B$2:$S$7,,ROW()-1))</f>
        <v>-0.41194303182194791</v>
      </c>
      <c r="P11" s="152">
        <f>CORREL(INDEX('Országok mutatói'!$B$2:$S$7,,COLUMN()-1), INDEX('Országok mutatói'!$B$2:$S$7,,ROW()-1))</f>
        <v>-0.11952725206598351</v>
      </c>
      <c r="Q11" s="152">
        <f>CORREL(INDEX('Országok mutatói'!$B$2:$S$7,,COLUMN()-1), INDEX('Országok mutatói'!$B$2:$S$7,,ROW()-1))</f>
        <v>-0.38061296179327175</v>
      </c>
      <c r="R11" s="152">
        <f>CORREL(INDEX('Országok mutatói'!$B$2:$S$7,,COLUMN()-1), INDEX('Országok mutatói'!$B$2:$S$7,,ROW()-1))</f>
        <v>-0.57072779127496309</v>
      </c>
      <c r="S11" s="153">
        <f>CORREL(INDEX('Országok mutatói'!$B$2:$S$7,,COLUMN()-1), INDEX('Országok mutatói'!$B$2:$S$7,,ROW()-1))</f>
        <v>-0.36096978836943444</v>
      </c>
    </row>
    <row r="12" spans="1:19" x14ac:dyDescent="0.3">
      <c r="A12" s="1" t="str">
        <f t="shared" ca="1" si="0"/>
        <v>A1/A3 tanúsítványok</v>
      </c>
      <c r="B12" s="151">
        <f>CORREL(INDEX('Országok mutatói'!$B$2:$S$7,,COLUMN()-1), INDEX('Országok mutatói'!$B$2:$S$7,,ROW()-1))</f>
        <v>0.78978124093959567</v>
      </c>
      <c r="C12" s="152">
        <f>CORREL(INDEX('Országok mutatói'!$B$2:$S$7,,COLUMN()-1), INDEX('Országok mutatói'!$B$2:$S$7,,ROW()-1))</f>
        <v>0.7567593365272568</v>
      </c>
      <c r="D12" s="152">
        <f>CORREL(INDEX('Országok mutatói'!$B$2:$S$7,,COLUMN()-1), INDEX('Országok mutatói'!$B$2:$S$7,,ROW()-1))</f>
        <v>0.92269403445178155</v>
      </c>
      <c r="E12" s="152">
        <f>CORREL(INDEX('Országok mutatói'!$B$2:$S$7,,COLUMN()-1), INDEX('Országok mutatói'!$B$2:$S$7,,ROW()-1))</f>
        <v>0.93848068065054657</v>
      </c>
      <c r="F12" s="152">
        <f>CORREL(INDEX('Országok mutatói'!$B$2:$S$7,,COLUMN()-1), INDEX('Országok mutatói'!$B$2:$S$7,,ROW()-1))</f>
        <v>0.90712504976465436</v>
      </c>
      <c r="G12" s="152">
        <f>CORREL(INDEX('Országok mutatói'!$B$2:$S$7,,COLUMN()-1), INDEX('Országok mutatói'!$B$2:$S$7,,ROW()-1))</f>
        <v>0.8870876670417952</v>
      </c>
      <c r="H12" s="152">
        <f>CORREL(INDEX('Országok mutatói'!$B$2:$S$7,,COLUMN()-1), INDEX('Országok mutatói'!$B$2:$S$7,,ROW()-1))</f>
        <v>0.60967439870813878</v>
      </c>
      <c r="I12" s="152">
        <f>CORREL(INDEX('Országok mutatói'!$B$2:$S$7,,COLUMN()-1), INDEX('Országok mutatói'!$B$2:$S$7,,ROW()-1))</f>
        <v>-5.0047355896811793E-2</v>
      </c>
      <c r="J12" s="152">
        <f>CORREL(INDEX('Országok mutatói'!$B$2:$S$7,,COLUMN()-1), INDEX('Országok mutatói'!$B$2:$S$7,,ROW()-1))</f>
        <v>0.98778986471092234</v>
      </c>
      <c r="K12" s="152">
        <f>CORREL(INDEX('Országok mutatói'!$B$2:$S$7,,COLUMN()-1), INDEX('Országok mutatói'!$B$2:$S$7,,ROW()-1))</f>
        <v>0.97090278711203892</v>
      </c>
      <c r="L12" s="152">
        <f>CORREL(INDEX('Országok mutatói'!$B$2:$S$7,,COLUMN()-1), INDEX('Országok mutatói'!$B$2:$S$7,,ROW()-1))</f>
        <v>1.0000000000000002</v>
      </c>
      <c r="M12" s="152">
        <f>CORREL(INDEX('Országok mutatói'!$B$2:$S$7,,COLUMN()-1), INDEX('Országok mutatói'!$B$2:$S$7,,ROW()-1))</f>
        <v>1.469758856816821E-2</v>
      </c>
      <c r="N12" s="152">
        <f>CORREL(INDEX('Országok mutatói'!$B$2:$S$7,,COLUMN()-1), INDEX('Országok mutatói'!$B$2:$S$7,,ROW()-1))</f>
        <v>0.97834693840012743</v>
      </c>
      <c r="O12" s="152">
        <f>CORREL(INDEX('Országok mutatói'!$B$2:$S$7,,COLUMN()-1), INDEX('Országok mutatói'!$B$2:$S$7,,ROW()-1))</f>
        <v>-0.47318319655158519</v>
      </c>
      <c r="P12" s="152">
        <f>CORREL(INDEX('Országok mutatói'!$B$2:$S$7,,COLUMN()-1), INDEX('Országok mutatói'!$B$2:$S$7,,ROW()-1))</f>
        <v>-8.4877465702874813E-2</v>
      </c>
      <c r="Q12" s="152">
        <f>CORREL(INDEX('Országok mutatói'!$B$2:$S$7,,COLUMN()-1), INDEX('Országok mutatói'!$B$2:$S$7,,ROW()-1))</f>
        <v>-0.56249940960107758</v>
      </c>
      <c r="R12" s="152">
        <f>CORREL(INDEX('Országok mutatói'!$B$2:$S$7,,COLUMN()-1), INDEX('Országok mutatói'!$B$2:$S$7,,ROW()-1))</f>
        <v>-0.55234106536219407</v>
      </c>
      <c r="S12" s="153">
        <f>CORREL(INDEX('Országok mutatói'!$B$2:$S$7,,COLUMN()-1), INDEX('Országok mutatói'!$B$2:$S$7,,ROW()-1))</f>
        <v>-0.29746044609472994</v>
      </c>
    </row>
    <row r="13" spans="1:19" x14ac:dyDescent="0.3">
      <c r="A13" s="1" t="str">
        <f t="shared" ca="1" si="0"/>
        <v>A1/A3 tanusítvány arány (%)</v>
      </c>
      <c r="B13" s="151">
        <f>CORREL(INDEX('Országok mutatói'!$B$2:$S$7,,COLUMN()-1), INDEX('Országok mutatói'!$B$2:$S$7,,ROW()-1))</f>
        <v>-0.2517609195636708</v>
      </c>
      <c r="C13" s="152">
        <f>CORREL(INDEX('Országok mutatói'!$B$2:$S$7,,COLUMN()-1), INDEX('Országok mutatói'!$B$2:$S$7,,ROW()-1))</f>
        <v>-0.30097950302939597</v>
      </c>
      <c r="D13" s="152">
        <f>CORREL(INDEX('Országok mutatói'!$B$2:$S$7,,COLUMN()-1), INDEX('Országok mutatói'!$B$2:$S$7,,ROW()-1))</f>
        <v>-0.22267129230452637</v>
      </c>
      <c r="E13" s="152">
        <f>CORREL(INDEX('Országok mutatói'!$B$2:$S$7,,COLUMN()-1), INDEX('Országok mutatói'!$B$2:$S$7,,ROW()-1))</f>
        <v>-0.20469441607006983</v>
      </c>
      <c r="F13" s="152">
        <f>CORREL(INDEX('Országok mutatói'!$B$2:$S$7,,COLUMN()-1), INDEX('Országok mutatói'!$B$2:$S$7,,ROW()-1))</f>
        <v>-0.24318539791142033</v>
      </c>
      <c r="G13" s="152">
        <f>CORREL(INDEX('Országok mutatói'!$B$2:$S$7,,COLUMN()-1), INDEX('Országok mutatói'!$B$2:$S$7,,ROW()-1))</f>
        <v>-0.28627932732517725</v>
      </c>
      <c r="H13" s="152">
        <f>CORREL(INDEX('Országok mutatói'!$B$2:$S$7,,COLUMN()-1), INDEX('Országok mutatói'!$B$2:$S$7,,ROW()-1))</f>
        <v>-0.2149194524088904</v>
      </c>
      <c r="I13" s="152">
        <f>CORREL(INDEX('Országok mutatói'!$B$2:$S$7,,COLUMN()-1), INDEX('Országok mutatói'!$B$2:$S$7,,ROW()-1))</f>
        <v>0.31982498890845945</v>
      </c>
      <c r="J13" s="152">
        <f>CORREL(INDEX('Országok mutatói'!$B$2:$S$7,,COLUMN()-1), INDEX('Országok mutatói'!$B$2:$S$7,,ROW()-1))</f>
        <v>-0.11898159285794055</v>
      </c>
      <c r="K13" s="152">
        <f>CORREL(INDEX('Országok mutatói'!$B$2:$S$7,,COLUMN()-1), INDEX('Országok mutatói'!$B$2:$S$7,,ROW()-1))</f>
        <v>-3.1897478929939847E-2</v>
      </c>
      <c r="L13" s="152">
        <f>CORREL(INDEX('Országok mutatói'!$B$2:$S$7,,COLUMN()-1), INDEX('Országok mutatói'!$B$2:$S$7,,ROW()-1))</f>
        <v>1.469758856816821E-2</v>
      </c>
      <c r="M13" s="152">
        <f>CORREL(INDEX('Országok mutatói'!$B$2:$S$7,,COLUMN()-1), INDEX('Országok mutatói'!$B$2:$S$7,,ROW()-1))</f>
        <v>1.0000000000000002</v>
      </c>
      <c r="N13" s="152">
        <f>CORREL(INDEX('Országok mutatói'!$B$2:$S$7,,COLUMN()-1), INDEX('Országok mutatói'!$B$2:$S$7,,ROW()-1))</f>
        <v>-0.13499039149016948</v>
      </c>
      <c r="O13" s="152">
        <f>CORREL(INDEX('Országok mutatói'!$B$2:$S$7,,COLUMN()-1), INDEX('Országok mutatói'!$B$2:$S$7,,ROW()-1))</f>
        <v>-0.20217387980822771</v>
      </c>
      <c r="P13" s="152">
        <f>CORREL(INDEX('Országok mutatói'!$B$2:$S$7,,COLUMN()-1), INDEX('Országok mutatói'!$B$2:$S$7,,ROW()-1))</f>
        <v>0.97839759220623368</v>
      </c>
      <c r="Q13" s="152">
        <f>CORREL(INDEX('Országok mutatói'!$B$2:$S$7,,COLUMN()-1), INDEX('Országok mutatói'!$B$2:$S$7,,ROW()-1))</f>
        <v>-8.9160776258680671E-2</v>
      </c>
      <c r="R13" s="152">
        <f>CORREL(INDEX('Országok mutatói'!$B$2:$S$7,,COLUMN()-1), INDEX('Országok mutatói'!$B$2:$S$7,,ROW()-1))</f>
        <v>-0.76236522021194508</v>
      </c>
      <c r="S13" s="153">
        <f>CORREL(INDEX('Országok mutatói'!$B$2:$S$7,,COLUMN()-1), INDEX('Országok mutatói'!$B$2:$S$7,,ROW()-1))</f>
        <v>-0.625022660595559</v>
      </c>
    </row>
    <row r="14" spans="1:19" x14ac:dyDescent="0.3">
      <c r="A14" s="1" t="str">
        <f t="shared" ca="1" si="0"/>
        <v>A2 tanúsítványok</v>
      </c>
      <c r="B14" s="151">
        <f>CORREL(INDEX('Országok mutatói'!$B$2:$S$7,,COLUMN()-1), INDEX('Országok mutatói'!$B$2:$S$7,,ROW()-1))</f>
        <v>0.8742676367497787</v>
      </c>
      <c r="C14" s="152">
        <f>CORREL(INDEX('Országok mutatói'!$B$2:$S$7,,COLUMN()-1), INDEX('Országok mutatói'!$B$2:$S$7,,ROW()-1))</f>
        <v>0.85388870452136034</v>
      </c>
      <c r="D14" s="152">
        <f>CORREL(INDEX('Országok mutatói'!$B$2:$S$7,,COLUMN()-1), INDEX('Országok mutatói'!$B$2:$S$7,,ROW()-1))</f>
        <v>0.97420917025983944</v>
      </c>
      <c r="E14" s="152">
        <f>CORREL(INDEX('Országok mutatói'!$B$2:$S$7,,COLUMN()-1), INDEX('Országok mutatói'!$B$2:$S$7,,ROW()-1))</f>
        <v>0.98201083407811585</v>
      </c>
      <c r="F14" s="152">
        <f>CORREL(INDEX('Országok mutatói'!$B$2:$S$7,,COLUMN()-1), INDEX('Országok mutatói'!$B$2:$S$7,,ROW()-1))</f>
        <v>0.9631622625997065</v>
      </c>
      <c r="G14" s="152">
        <f>CORREL(INDEX('Országok mutatói'!$B$2:$S$7,,COLUMN()-1), INDEX('Országok mutatói'!$B$2:$S$7,,ROW()-1))</f>
        <v>0.95001855386596434</v>
      </c>
      <c r="H14" s="152">
        <f>CORREL(INDEX('Országok mutatói'!$B$2:$S$7,,COLUMN()-1), INDEX('Országok mutatói'!$B$2:$S$7,,ROW()-1))</f>
        <v>0.70791965552299474</v>
      </c>
      <c r="I14" s="152">
        <f>CORREL(INDEX('Országok mutatói'!$B$2:$S$7,,COLUMN()-1), INDEX('Országok mutatói'!$B$2:$S$7,,ROW()-1))</f>
        <v>-4.9630046949610714E-2</v>
      </c>
      <c r="J14" s="152">
        <f>CORREL(INDEX('Országok mutatói'!$B$2:$S$7,,COLUMN()-1), INDEX('Országok mutatói'!$B$2:$S$7,,ROW()-1))</f>
        <v>0.99421719999362757</v>
      </c>
      <c r="K14" s="152">
        <f>CORREL(INDEX('Országok mutatói'!$B$2:$S$7,,COLUMN()-1), INDEX('Országok mutatói'!$B$2:$S$7,,ROW()-1))</f>
        <v>0.97331192907296604</v>
      </c>
      <c r="L14" s="152">
        <f>CORREL(INDEX('Országok mutatói'!$B$2:$S$7,,COLUMN()-1), INDEX('Országok mutatói'!$B$2:$S$7,,ROW()-1))</f>
        <v>0.97834693840012743</v>
      </c>
      <c r="M14" s="152">
        <f>CORREL(INDEX('Országok mutatói'!$B$2:$S$7,,COLUMN()-1), INDEX('Országok mutatói'!$B$2:$S$7,,ROW()-1))</f>
        <v>-0.13499039149016948</v>
      </c>
      <c r="N14" s="152">
        <f>CORREL(INDEX('Országok mutatói'!$B$2:$S$7,,COLUMN()-1), INDEX('Országok mutatói'!$B$2:$S$7,,ROW()-1))</f>
        <v>1.0000000000000002</v>
      </c>
      <c r="O14" s="152">
        <f>CORREL(INDEX('Országok mutatói'!$B$2:$S$7,,COLUMN()-1), INDEX('Országok mutatói'!$B$2:$S$7,,ROW()-1))</f>
        <v>-0.34092690076504434</v>
      </c>
      <c r="P14" s="152">
        <f>CORREL(INDEX('Országok mutatói'!$B$2:$S$7,,COLUMN()-1), INDEX('Országok mutatói'!$B$2:$S$7,,ROW()-1))</f>
        <v>-0.20980193921831086</v>
      </c>
      <c r="Q14" s="152">
        <f>CORREL(INDEX('Országok mutatói'!$B$2:$S$7,,COLUMN()-1), INDEX('Országok mutatói'!$B$2:$S$7,,ROW()-1))</f>
        <v>-0.54505048761062258</v>
      </c>
      <c r="R14" s="152">
        <f>CORREL(INDEX('Országok mutatói'!$B$2:$S$7,,COLUMN()-1), INDEX('Országok mutatói'!$B$2:$S$7,,ROW()-1))</f>
        <v>-0.43364546166739953</v>
      </c>
      <c r="S14" s="153">
        <f>CORREL(INDEX('Országok mutatói'!$B$2:$S$7,,COLUMN()-1), INDEX('Országok mutatói'!$B$2:$S$7,,ROW()-1))</f>
        <v>-0.29822779506885239</v>
      </c>
    </row>
    <row r="15" spans="1:19" x14ac:dyDescent="0.3">
      <c r="A15" s="1" t="str">
        <f t="shared" ca="1" si="0"/>
        <v>A2 tanusítvány arány (%)</v>
      </c>
      <c r="B15" s="151">
        <f>CORREL(INDEX('Országok mutatói'!$B$2:$S$7,,COLUMN()-1), INDEX('Országok mutatói'!$B$2:$S$7,,ROW()-1))</f>
        <v>-1.4828866847592553E-2</v>
      </c>
      <c r="C15" s="152">
        <f>CORREL(INDEX('Országok mutatói'!$B$2:$S$7,,COLUMN()-1), INDEX('Országok mutatói'!$B$2:$S$7,,ROW()-1))</f>
        <v>4.3979075390398421E-2</v>
      </c>
      <c r="D15" s="152">
        <f>CORREL(INDEX('Országok mutatói'!$B$2:$S$7,,COLUMN()-1), INDEX('Országok mutatói'!$B$2:$S$7,,ROW()-1))</f>
        <v>-0.16393812686470827</v>
      </c>
      <c r="E15" s="152">
        <f>CORREL(INDEX('Országok mutatói'!$B$2:$S$7,,COLUMN()-1), INDEX('Országok mutatói'!$B$2:$S$7,,ROW()-1))</f>
        <v>-0.18738321285213219</v>
      </c>
      <c r="F15" s="152">
        <f>CORREL(INDEX('Országok mutatói'!$B$2:$S$7,,COLUMN()-1), INDEX('Országok mutatói'!$B$2:$S$7,,ROW()-1))</f>
        <v>-0.12203969381996212</v>
      </c>
      <c r="G15" s="152">
        <f>CORREL(INDEX('Országok mutatói'!$B$2:$S$7,,COLUMN()-1), INDEX('Országok mutatói'!$B$2:$S$7,,ROW()-1))</f>
        <v>-6.4203159915991584E-2</v>
      </c>
      <c r="H15" s="152">
        <f>CORREL(INDEX('Országok mutatói'!$B$2:$S$7,,COLUMN()-1), INDEX('Országok mutatói'!$B$2:$S$7,,ROW()-1))</f>
        <v>7.7672887476988292E-2</v>
      </c>
      <c r="I15" s="152">
        <f>CORREL(INDEX('Országok mutatói'!$B$2:$S$7,,COLUMN()-1), INDEX('Országok mutatói'!$B$2:$S$7,,ROW()-1))</f>
        <v>1.5103440871470091E-2</v>
      </c>
      <c r="J15" s="152">
        <f>CORREL(INDEX('Országok mutatói'!$B$2:$S$7,,COLUMN()-1), INDEX('Országok mutatói'!$B$2:$S$7,,ROW()-1))</f>
        <v>-0.41285200412462575</v>
      </c>
      <c r="K15" s="152">
        <f>CORREL(INDEX('Országok mutatói'!$B$2:$S$7,,COLUMN()-1), INDEX('Országok mutatói'!$B$2:$S$7,,ROW()-1))</f>
        <v>-0.41194303182194791</v>
      </c>
      <c r="L15" s="152">
        <f>CORREL(INDEX('Országok mutatói'!$B$2:$S$7,,COLUMN()-1), INDEX('Országok mutatói'!$B$2:$S$7,,ROW()-1))</f>
        <v>-0.47318319655158519</v>
      </c>
      <c r="M15" s="152">
        <f>CORREL(INDEX('Országok mutatói'!$B$2:$S$7,,COLUMN()-1), INDEX('Országok mutatói'!$B$2:$S$7,,ROW()-1))</f>
        <v>-0.20217387980822771</v>
      </c>
      <c r="N15" s="152">
        <f>CORREL(INDEX('Országok mutatói'!$B$2:$S$7,,COLUMN()-1), INDEX('Országok mutatói'!$B$2:$S$7,,ROW()-1))</f>
        <v>-0.34092690076504434</v>
      </c>
      <c r="O15" s="152">
        <f>CORREL(INDEX('Országok mutatói'!$B$2:$S$7,,COLUMN()-1), INDEX('Országok mutatói'!$B$2:$S$7,,ROW()-1))</f>
        <v>1</v>
      </c>
      <c r="P15" s="152">
        <f>CORREL(INDEX('Országok mutatói'!$B$2:$S$7,,COLUMN()-1), INDEX('Országok mutatói'!$B$2:$S$7,,ROW()-1))</f>
        <v>4.656548271382341E-3</v>
      </c>
      <c r="Q15" s="152">
        <f>CORREL(INDEX('Országok mutatói'!$B$2:$S$7,,COLUMN()-1), INDEX('Országok mutatói'!$B$2:$S$7,,ROW()-1))</f>
        <v>0.1503164071589245</v>
      </c>
      <c r="R15" s="152">
        <f>CORREL(INDEX('Országok mutatói'!$B$2:$S$7,,COLUMN()-1), INDEX('Országok mutatói'!$B$2:$S$7,,ROW()-1))</f>
        <v>0.52211421423308224</v>
      </c>
      <c r="S15" s="153">
        <f>CORREL(INDEX('Országok mutatói'!$B$2:$S$7,,COLUMN()-1), INDEX('Országok mutatói'!$B$2:$S$7,,ROW()-1))</f>
        <v>-0.26483366787668716</v>
      </c>
    </row>
    <row r="16" spans="1:19" x14ac:dyDescent="0.3">
      <c r="A16" s="1" t="str">
        <f t="shared" ca="1" si="0"/>
        <v>Tanusítvány/Üzemeltető arány</v>
      </c>
      <c r="B16" s="151">
        <f>CORREL(INDEX('Országok mutatói'!$B$2:$S$7,,COLUMN()-1), INDEX('Országok mutatói'!$B$2:$S$7,,ROW()-1))</f>
        <v>-0.26019695254957764</v>
      </c>
      <c r="C16" s="152">
        <f>CORREL(INDEX('Országok mutatói'!$B$2:$S$7,,COLUMN()-1), INDEX('Országok mutatói'!$B$2:$S$7,,ROW()-1))</f>
        <v>-0.29803896546297187</v>
      </c>
      <c r="D16" s="152">
        <f>CORREL(INDEX('Országok mutatói'!$B$2:$S$7,,COLUMN()-1), INDEX('Országok mutatói'!$B$2:$S$7,,ROW()-1))</f>
        <v>-0.26196992007572351</v>
      </c>
      <c r="E16" s="152">
        <f>CORREL(INDEX('Országok mutatói'!$B$2:$S$7,,COLUMN()-1), INDEX('Országok mutatói'!$B$2:$S$7,,ROW()-1))</f>
        <v>-0.24856323726629206</v>
      </c>
      <c r="F16" s="152">
        <f>CORREL(INDEX('Országok mutatói'!$B$2:$S$7,,COLUMN()-1), INDEX('Országok mutatói'!$B$2:$S$7,,ROW()-1))</f>
        <v>-0.27407196474505696</v>
      </c>
      <c r="G16" s="152">
        <f>CORREL(INDEX('Országok mutatói'!$B$2:$S$7,,COLUMN()-1), INDEX('Országok mutatói'!$B$2:$S$7,,ROW()-1))</f>
        <v>-0.30586530399759787</v>
      </c>
      <c r="H16" s="152">
        <f>CORREL(INDEX('Országok mutatói'!$B$2:$S$7,,COLUMN()-1), INDEX('Országok mutatói'!$B$2:$S$7,,ROW()-1))</f>
        <v>-0.20305275697974778</v>
      </c>
      <c r="I16" s="152">
        <f>CORREL(INDEX('Országok mutatói'!$B$2:$S$7,,COLUMN()-1), INDEX('Országok mutatói'!$B$2:$S$7,,ROW()-1))</f>
        <v>0.32975341298934729</v>
      </c>
      <c r="J16" s="152">
        <f>CORREL(INDEX('Országok mutatói'!$B$2:$S$7,,COLUMN()-1), INDEX('Országok mutatói'!$B$2:$S$7,,ROW()-1))</f>
        <v>-0.20863851501355202</v>
      </c>
      <c r="K16" s="152">
        <f>CORREL(INDEX('Országok mutatói'!$B$2:$S$7,,COLUMN()-1), INDEX('Országok mutatói'!$B$2:$S$7,,ROW()-1))</f>
        <v>-0.11952725206598351</v>
      </c>
      <c r="L16" s="152">
        <f>CORREL(INDEX('Országok mutatói'!$B$2:$S$7,,COLUMN()-1), INDEX('Országok mutatói'!$B$2:$S$7,,ROW()-1))</f>
        <v>-8.4877465702874813E-2</v>
      </c>
      <c r="M16" s="152">
        <f>CORREL(INDEX('Országok mutatói'!$B$2:$S$7,,COLUMN()-1), INDEX('Országok mutatói'!$B$2:$S$7,,ROW()-1))</f>
        <v>0.97839759220623368</v>
      </c>
      <c r="N16" s="152">
        <f>CORREL(INDEX('Országok mutatói'!$B$2:$S$7,,COLUMN()-1), INDEX('Országok mutatói'!$B$2:$S$7,,ROW()-1))</f>
        <v>-0.20980193921831086</v>
      </c>
      <c r="O16" s="152">
        <f>CORREL(INDEX('Országok mutatói'!$B$2:$S$7,,COLUMN()-1), INDEX('Országok mutatói'!$B$2:$S$7,,ROW()-1))</f>
        <v>4.656548271382341E-3</v>
      </c>
      <c r="P16" s="152">
        <f>CORREL(INDEX('Országok mutatói'!$B$2:$S$7,,COLUMN()-1), INDEX('Országok mutatói'!$B$2:$S$7,,ROW()-1))</f>
        <v>1</v>
      </c>
      <c r="Q16" s="152">
        <f>CORREL(INDEX('Országok mutatói'!$B$2:$S$7,,COLUMN()-1), INDEX('Országok mutatói'!$B$2:$S$7,,ROW()-1))</f>
        <v>-5.9309345764187636E-2</v>
      </c>
      <c r="R16" s="152">
        <f>CORREL(INDEX('Országok mutatói'!$B$2:$S$7,,COLUMN()-1), INDEX('Országok mutatói'!$B$2:$S$7,,ROW()-1))</f>
        <v>-0.66821814250825662</v>
      </c>
      <c r="S16" s="153">
        <f>CORREL(INDEX('Országok mutatói'!$B$2:$S$7,,COLUMN()-1), INDEX('Országok mutatói'!$B$2:$S$7,,ROW()-1))</f>
        <v>-0.69409888856447677</v>
      </c>
    </row>
    <row r="17" spans="1:19" x14ac:dyDescent="0.3">
      <c r="A17" s="1" t="str">
        <f t="shared" ca="1" si="0"/>
        <v xml:space="preserve">Operatív engedély /Üzemeltető arány (%)  </v>
      </c>
      <c r="B17" s="151">
        <f>CORREL(INDEX('Országok mutatói'!$B$2:$S$7,,COLUMN()-1), INDEX('Országok mutatói'!$B$2:$S$7,,ROW()-1))</f>
        <v>-0.72487896443401245</v>
      </c>
      <c r="C17" s="152">
        <f>CORREL(INDEX('Országok mutatói'!$B$2:$S$7,,COLUMN()-1), INDEX('Országok mutatói'!$B$2:$S$7,,ROW()-1))</f>
        <v>-0.69737297469202841</v>
      </c>
      <c r="D17" s="152">
        <f>CORREL(INDEX('Országok mutatói'!$B$2:$S$7,,COLUMN()-1), INDEX('Országok mutatói'!$B$2:$S$7,,ROW()-1))</f>
        <v>-0.63503095777029361</v>
      </c>
      <c r="E17" s="152">
        <f>CORREL(INDEX('Országok mutatói'!$B$2:$S$7,,COLUMN()-1), INDEX('Országok mutatói'!$B$2:$S$7,,ROW()-1))</f>
        <v>-0.61246208788844136</v>
      </c>
      <c r="F17" s="152">
        <f>CORREL(INDEX('Országok mutatói'!$B$2:$S$7,,COLUMN()-1), INDEX('Országok mutatói'!$B$2:$S$7,,ROW()-1))</f>
        <v>-0.64005651577619727</v>
      </c>
      <c r="G17" s="152">
        <f>CORREL(INDEX('Országok mutatói'!$B$2:$S$7,,COLUMN()-1), INDEX('Országok mutatói'!$B$2:$S$7,,ROW()-1))</f>
        <v>-0.57747813739793874</v>
      </c>
      <c r="H17" s="152">
        <f>CORREL(INDEX('Országok mutatói'!$B$2:$S$7,,COLUMN()-1), INDEX('Országok mutatói'!$B$2:$S$7,,ROW()-1))</f>
        <v>-0.7644145256254431</v>
      </c>
      <c r="I17" s="152">
        <f>CORREL(INDEX('Országok mutatói'!$B$2:$S$7,,COLUMN()-1), INDEX('Országok mutatói'!$B$2:$S$7,,ROW()-1))</f>
        <v>-0.63645540653423016</v>
      </c>
      <c r="J17" s="152">
        <f>CORREL(INDEX('Országok mutatói'!$B$2:$S$7,,COLUMN()-1), INDEX('Országok mutatói'!$B$2:$S$7,,ROW()-1))</f>
        <v>-0.49936093709771617</v>
      </c>
      <c r="K17" s="152">
        <f>CORREL(INDEX('Országok mutatói'!$B$2:$S$7,,COLUMN()-1), INDEX('Országok mutatói'!$B$2:$S$7,,ROW()-1))</f>
        <v>-0.38061296179327175</v>
      </c>
      <c r="L17" s="152">
        <f>CORREL(INDEX('Országok mutatói'!$B$2:$S$7,,COLUMN()-1), INDEX('Országok mutatói'!$B$2:$S$7,,ROW()-1))</f>
        <v>-0.56249940960107758</v>
      </c>
      <c r="M17" s="152">
        <f>CORREL(INDEX('Országok mutatói'!$B$2:$S$7,,COLUMN()-1), INDEX('Országok mutatói'!$B$2:$S$7,,ROW()-1))</f>
        <v>-8.9160776258680671E-2</v>
      </c>
      <c r="N17" s="152">
        <f>CORREL(INDEX('Országok mutatói'!$B$2:$S$7,,COLUMN()-1), INDEX('Országok mutatói'!$B$2:$S$7,,ROW()-1))</f>
        <v>-0.54505048761062258</v>
      </c>
      <c r="O17" s="152">
        <f>CORREL(INDEX('Országok mutatói'!$B$2:$S$7,,COLUMN()-1), INDEX('Országok mutatói'!$B$2:$S$7,,ROW()-1))</f>
        <v>0.1503164071589245</v>
      </c>
      <c r="P17" s="152">
        <f>CORREL(INDEX('Országok mutatói'!$B$2:$S$7,,COLUMN()-1), INDEX('Országok mutatói'!$B$2:$S$7,,ROW()-1))</f>
        <v>-5.9309345764187636E-2</v>
      </c>
      <c r="Q17" s="152">
        <f>CORREL(INDEX('Országok mutatói'!$B$2:$S$7,,COLUMN()-1), INDEX('Országok mutatói'!$B$2:$S$7,,ROW()-1))</f>
        <v>1</v>
      </c>
      <c r="R17" s="152">
        <f>CORREL(INDEX('Országok mutatói'!$B$2:$S$7,,COLUMN()-1), INDEX('Országok mutatói'!$B$2:$S$7,,ROW()-1))</f>
        <v>0.12925430817733621</v>
      </c>
      <c r="S17" s="153">
        <f>CORREL(INDEX('Országok mutatói'!$B$2:$S$7,,COLUMN()-1), INDEX('Országok mutatói'!$B$2:$S$7,,ROW()-1))</f>
        <v>0.15537969897604831</v>
      </c>
    </row>
    <row r="18" spans="1:19" x14ac:dyDescent="0.3">
      <c r="A18" s="1" t="str">
        <f t="shared" ca="1" si="0"/>
        <v>A2 tanusítvány / A1-A3 tanusítvány arány (%)</v>
      </c>
      <c r="B18" s="151">
        <f>CORREL(INDEX('Országok mutatói'!$B$2:$S$7,,COLUMN()-1), INDEX('Országok mutatói'!$B$2:$S$7,,ROW()-1))</f>
        <v>-0.1592410901299994</v>
      </c>
      <c r="C18" s="152">
        <f>CORREL(INDEX('Országok mutatói'!$B$2:$S$7,,COLUMN()-1), INDEX('Országok mutatói'!$B$2:$S$7,,ROW()-1))</f>
        <v>-0.10327951067762989</v>
      </c>
      <c r="D18" s="152">
        <f>CORREL(INDEX('Országok mutatói'!$B$2:$S$7,,COLUMN()-1), INDEX('Országok mutatói'!$B$2:$S$7,,ROW()-1))</f>
        <v>-0.28211003526322692</v>
      </c>
      <c r="E18" s="152">
        <f>CORREL(INDEX('Országok mutatói'!$B$2:$S$7,,COLUMN()-1), INDEX('Országok mutatói'!$B$2:$S$7,,ROW()-1))</f>
        <v>-0.30902473887506537</v>
      </c>
      <c r="F18" s="152">
        <f>CORREL(INDEX('Országok mutatói'!$B$2:$S$7,,COLUMN()-1), INDEX('Országok mutatói'!$B$2:$S$7,,ROW()-1))</f>
        <v>-0.24516936978958881</v>
      </c>
      <c r="G18" s="152">
        <f>CORREL(INDEX('Országok mutatói'!$B$2:$S$7,,COLUMN()-1), INDEX('Országok mutatói'!$B$2:$S$7,,ROW()-1))</f>
        <v>-0.20310114124494519</v>
      </c>
      <c r="H18" s="152">
        <f>CORREL(INDEX('Országok mutatói'!$B$2:$S$7,,COLUMN()-1), INDEX('Országok mutatói'!$B$2:$S$7,,ROW()-1))</f>
        <v>-7.2252741845392779E-2</v>
      </c>
      <c r="I18" s="152">
        <f>CORREL(INDEX('Országok mutatói'!$B$2:$S$7,,COLUMN()-1), INDEX('Országok mutatói'!$B$2:$S$7,,ROW()-1))</f>
        <v>-8.8893943931575403E-2</v>
      </c>
      <c r="J18" s="152">
        <f>CORREL(INDEX('Országok mutatói'!$B$2:$S$7,,COLUMN()-1), INDEX('Országok mutatói'!$B$2:$S$7,,ROW()-1))</f>
        <v>-0.4645635630767615</v>
      </c>
      <c r="K18" s="152">
        <f>CORREL(INDEX('Országok mutatói'!$B$2:$S$7,,COLUMN()-1), INDEX('Országok mutatói'!$B$2:$S$7,,ROW()-1))</f>
        <v>-0.57072779127496309</v>
      </c>
      <c r="L18" s="152">
        <f>CORREL(INDEX('Országok mutatói'!$B$2:$S$7,,COLUMN()-1), INDEX('Országok mutatói'!$B$2:$S$7,,ROW()-1))</f>
        <v>-0.55234106536219407</v>
      </c>
      <c r="M18" s="152">
        <f>CORREL(INDEX('Országok mutatói'!$B$2:$S$7,,COLUMN()-1), INDEX('Országok mutatói'!$B$2:$S$7,,ROW()-1))</f>
        <v>-0.76236522021194508</v>
      </c>
      <c r="N18" s="152">
        <f>CORREL(INDEX('Országok mutatói'!$B$2:$S$7,,COLUMN()-1), INDEX('Országok mutatói'!$B$2:$S$7,,ROW()-1))</f>
        <v>-0.43364546166739953</v>
      </c>
      <c r="O18" s="152">
        <f>CORREL(INDEX('Országok mutatói'!$B$2:$S$7,,COLUMN()-1), INDEX('Országok mutatói'!$B$2:$S$7,,ROW()-1))</f>
        <v>0.52211421423308224</v>
      </c>
      <c r="P18" s="152">
        <f>CORREL(INDEX('Országok mutatói'!$B$2:$S$7,,COLUMN()-1), INDEX('Országok mutatói'!$B$2:$S$7,,ROW()-1))</f>
        <v>-0.66821814250825662</v>
      </c>
      <c r="Q18" s="152">
        <f>CORREL(INDEX('Országok mutatói'!$B$2:$S$7,,COLUMN()-1), INDEX('Országok mutatói'!$B$2:$S$7,,ROW()-1))</f>
        <v>0.12925430817733621</v>
      </c>
      <c r="R18" s="152">
        <f>CORREL(INDEX('Országok mutatói'!$B$2:$S$7,,COLUMN()-1), INDEX('Országok mutatói'!$B$2:$S$7,,ROW()-1))</f>
        <v>1</v>
      </c>
      <c r="S18" s="153">
        <f>CORREL(INDEX('Országok mutatói'!$B$2:$S$7,,COLUMN()-1), INDEX('Országok mutatói'!$B$2:$S$7,,ROW()-1))</f>
        <v>0.66555594450328159</v>
      </c>
    </row>
    <row r="19" spans="1:19" ht="15" thickBot="1" x14ac:dyDescent="0.35">
      <c r="A19" s="2" t="str">
        <f t="shared" ca="1" si="0"/>
        <v>Szabad terület / A1-A3 pilóta (km2/pilóta)</v>
      </c>
      <c r="B19" s="154">
        <f>CORREL(INDEX('Országok mutatói'!$B$2:$S$7,,COLUMN()-1), INDEX('Országok mutatói'!$B$2:$S$7,,ROW()-1))</f>
        <v>-0.33004519102524688</v>
      </c>
      <c r="C19" s="155">
        <f>CORREL(INDEX('Országok mutatói'!$B$2:$S$7,,COLUMN()-1), INDEX('Országok mutatói'!$B$2:$S$7,,ROW()-1))</f>
        <v>-0.317519766893815</v>
      </c>
      <c r="D19" s="155">
        <f>CORREL(INDEX('Országok mutatói'!$B$2:$S$7,,COLUMN()-1), INDEX('Országok mutatói'!$B$2:$S$7,,ROW()-1))</f>
        <v>-0.29973074905731456</v>
      </c>
      <c r="E19" s="155">
        <f>CORREL(INDEX('Országok mutatói'!$B$2:$S$7,,COLUMN()-1), INDEX('Országok mutatói'!$B$2:$S$7,,ROW()-1))</f>
        <v>-0.29987048938642696</v>
      </c>
      <c r="F19" s="155">
        <f>CORREL(INDEX('Országok mutatói'!$B$2:$S$7,,COLUMN()-1), INDEX('Országok mutatói'!$B$2:$S$7,,ROW()-1))</f>
        <v>-0.29278229024891766</v>
      </c>
      <c r="G19" s="155">
        <f>CORREL(INDEX('Országok mutatói'!$B$2:$S$7,,COLUMN()-1), INDEX('Országok mutatói'!$B$2:$S$7,,ROW()-1))</f>
        <v>-0.2810857909883086</v>
      </c>
      <c r="H19" s="155">
        <f>CORREL(INDEX('Országok mutatói'!$B$2:$S$7,,COLUMN()-1), INDEX('Országok mutatói'!$B$2:$S$7,,ROW()-1))</f>
        <v>-0.33668426678073665</v>
      </c>
      <c r="I19" s="155">
        <f>CORREL(INDEX('Országok mutatói'!$B$2:$S$7,,COLUMN()-1), INDEX('Országok mutatói'!$B$2:$S$7,,ROW()-1))</f>
        <v>-0.25189439303485883</v>
      </c>
      <c r="J19" s="155">
        <f>CORREL(INDEX('Országok mutatói'!$B$2:$S$7,,COLUMN()-1), INDEX('Országok mutatói'!$B$2:$S$7,,ROW()-1))</f>
        <v>-0.25609573382147427</v>
      </c>
      <c r="K19" s="155">
        <f>CORREL(INDEX('Országok mutatói'!$B$2:$S$7,,COLUMN()-1), INDEX('Országok mutatói'!$B$2:$S$7,,ROW()-1))</f>
        <v>-0.36096978836943444</v>
      </c>
      <c r="L19" s="155">
        <f>CORREL(INDEX('Országok mutatói'!$B$2:$S$7,,COLUMN()-1), INDEX('Országok mutatói'!$B$2:$S$7,,ROW()-1))</f>
        <v>-0.29746044609472994</v>
      </c>
      <c r="M19" s="155">
        <f>CORREL(INDEX('Országok mutatói'!$B$2:$S$7,,COLUMN()-1), INDEX('Országok mutatói'!$B$2:$S$7,,ROW()-1))</f>
        <v>-0.625022660595559</v>
      </c>
      <c r="N19" s="155">
        <f>CORREL(INDEX('Országok mutatói'!$B$2:$S$7,,COLUMN()-1), INDEX('Országok mutatói'!$B$2:$S$7,,ROW()-1))</f>
        <v>-0.29822779506885239</v>
      </c>
      <c r="O19" s="155">
        <f>CORREL(INDEX('Országok mutatói'!$B$2:$S$7,,COLUMN()-1), INDEX('Országok mutatói'!$B$2:$S$7,,ROW()-1))</f>
        <v>-0.26483366787668716</v>
      </c>
      <c r="P19" s="155">
        <f>CORREL(INDEX('Országok mutatói'!$B$2:$S$7,,COLUMN()-1), INDEX('Országok mutatói'!$B$2:$S$7,,ROW()-1))</f>
        <v>-0.69409888856447677</v>
      </c>
      <c r="Q19" s="155">
        <f>CORREL(INDEX('Országok mutatói'!$B$2:$S$7,,COLUMN()-1), INDEX('Országok mutatói'!$B$2:$S$7,,ROW()-1))</f>
        <v>0.15537969897604831</v>
      </c>
      <c r="R19" s="155">
        <f>CORREL(INDEX('Országok mutatói'!$B$2:$S$7,,COLUMN()-1), INDEX('Országok mutatói'!$B$2:$S$7,,ROW()-1))</f>
        <v>0.66555594450328159</v>
      </c>
      <c r="S19" s="156">
        <f>CORREL(INDEX('Országok mutatói'!$B$2:$S$7,,COLUMN()-1), INDEX('Országok mutatói'!$B$2:$S$7,,ROW()-1))</f>
        <v>0.99999999999999989</v>
      </c>
    </row>
    <row r="21" spans="1:19" ht="15" thickBot="1" x14ac:dyDescent="0.35"/>
    <row r="22" spans="1:19" ht="15" thickBot="1" x14ac:dyDescent="0.35">
      <c r="B22" s="17" t="s">
        <v>53</v>
      </c>
      <c r="C22" s="18" t="s">
        <v>55</v>
      </c>
      <c r="D22" s="19" t="s">
        <v>54</v>
      </c>
    </row>
    <row r="23" spans="1:19" ht="130.19999999999999" thickBot="1" x14ac:dyDescent="0.35">
      <c r="B23" s="9">
        <v>-1</v>
      </c>
      <c r="C23" s="16"/>
      <c r="D23" s="11" t="s">
        <v>59</v>
      </c>
    </row>
    <row r="24" spans="1:19" ht="43.8" thickBot="1" x14ac:dyDescent="0.35">
      <c r="B24" s="12">
        <v>0</v>
      </c>
      <c r="C24" s="13"/>
      <c r="D24" s="14" t="s">
        <v>56</v>
      </c>
    </row>
    <row r="25" spans="1:19" ht="101.4" thickBot="1" x14ac:dyDescent="0.35">
      <c r="B25" s="9">
        <v>1</v>
      </c>
      <c r="C25" s="10"/>
      <c r="D25" s="15" t="s">
        <v>57</v>
      </c>
    </row>
  </sheetData>
  <conditionalFormatting sqref="B2:S19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F7128"/>
        <color rgb="FFFFEB84"/>
        <color theme="9"/>
      </colorScale>
    </cfRule>
    <cfRule type="colorScale" priority="24">
      <colorScale>
        <cfvo type="min"/>
        <cfvo type="percentile" val="50"/>
        <cfvo type="max"/>
        <color rgb="FFF8696B"/>
        <color rgb="FFFFC000"/>
        <color rgb="FF63BE7B"/>
      </colorScale>
    </cfRule>
    <cfRule type="colorScale" priority="25">
      <colorScale>
        <cfvo type="min"/>
        <cfvo type="percentile" val="50"/>
        <cfvo type="max"/>
        <color rgb="FFFF6363"/>
        <color rgb="FFFFFF00"/>
        <color rgb="FF63BE7B"/>
      </colorScale>
    </cfRule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7">
      <colorScale>
        <cfvo type="min"/>
        <cfvo type="max"/>
        <color rgb="FFFFC000"/>
        <color rgb="FF92D050"/>
      </colorScale>
    </cfRule>
    <cfRule type="colorScale" priority="28">
      <colorScale>
        <cfvo type="min"/>
        <cfvo type="max"/>
        <color rgb="FFFF7128"/>
        <color rgb="FFFFEF9C"/>
      </colorScale>
    </cfRule>
    <cfRule type="colorScale" priority="29">
      <colorScale>
        <cfvo type="min"/>
        <cfvo type="max"/>
        <color rgb="FFFF0000"/>
        <color theme="9" tint="-0.249977111117893"/>
      </colorScale>
    </cfRule>
  </conditionalFormatting>
  <conditionalFormatting sqref="C2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F7128"/>
        <color rgb="FFFFEB84"/>
        <color theme="9"/>
      </colorScale>
    </cfRule>
    <cfRule type="colorScale" priority="4">
      <colorScale>
        <cfvo type="min"/>
        <cfvo type="percentile" val="50"/>
        <cfvo type="max"/>
        <color rgb="FFF8696B"/>
        <color rgb="FFFFC000"/>
        <color rgb="FF63BE7B"/>
      </colorScale>
    </cfRule>
    <cfRule type="colorScale" priority="5">
      <colorScale>
        <cfvo type="min"/>
        <cfvo type="percentile" val="50"/>
        <cfvo type="max"/>
        <color rgb="FFFF6363"/>
        <color rgb="FFFFFF00"/>
        <color rgb="FF63BE7B"/>
      </colorScale>
    </cfRule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min"/>
        <cfvo type="max"/>
        <color rgb="FFFFC000"/>
        <color rgb="FF92D050"/>
      </colorScale>
    </cfRule>
    <cfRule type="colorScale" priority="8">
      <colorScale>
        <cfvo type="min"/>
        <cfvo type="max"/>
        <color rgb="FFFF7128"/>
        <color rgb="FFFFEF9C"/>
      </colorScale>
    </cfRule>
    <cfRule type="colorScale" priority="9">
      <colorScale>
        <cfvo type="min"/>
        <cfvo type="max"/>
        <color rgb="FFFF0000"/>
        <color theme="9" tint="-0.249977111117893"/>
      </colorScale>
    </cfRule>
  </conditionalFormatting>
  <conditionalFormatting sqref="F31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Téma Célkitűzés</vt:lpstr>
      <vt:lpstr>Országok mutatói</vt:lpstr>
      <vt:lpstr>Iránykód</vt:lpstr>
      <vt:lpstr>Elemzési irány</vt:lpstr>
      <vt:lpstr>Medián érték</vt:lpstr>
      <vt:lpstr>Országok korlátozottsági indexe</vt:lpstr>
      <vt:lpstr>korrelációs együtthatók</vt:lpstr>
      <vt:lpstr>korrelációs_mátrix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Spiller Zsolt</dc:creator>
  <cp:lastModifiedBy>Lttd</cp:lastModifiedBy>
  <dcterms:created xsi:type="dcterms:W3CDTF">2025-05-05T13:13:20Z</dcterms:created>
  <dcterms:modified xsi:type="dcterms:W3CDTF">2025-05-20T16:48:19Z</dcterms:modified>
</cp:coreProperties>
</file>