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atitude\AppData\Local\Temp\scp26749\var\www\miau\data\miau\324\dronok\"/>
    </mc:Choice>
  </mc:AlternateContent>
  <xr:revisionPtr revIDLastSave="0" documentId="13_ncr:1_{9F976F0E-8F30-4D83-A5E3-363A79BA338D}" xr6:coauthVersionLast="47" xr6:coauthVersionMax="47" xr10:uidLastSave="{00000000-0000-0000-0000-000000000000}"/>
  <bookViews>
    <workbookView xWindow="-108" yWindow="-108" windowWidth="23256" windowHeight="12456" tabRatio="632" activeTab="4" xr2:uid="{00000000-000D-0000-FFFF-FFFF00000000}"/>
  </bookViews>
  <sheets>
    <sheet name="Téma Célkitűzés" sheetId="2" r:id="rId1"/>
    <sheet name="Országok mutatói" sheetId="3" r:id="rId2"/>
    <sheet name="Országok mutatói2" sheetId="10" r:id="rId3"/>
    <sheet name="Országok mutatói3" sheetId="12" r:id="rId4"/>
    <sheet name="Y0" sheetId="13" r:id="rId5"/>
    <sheet name="Iránykód" sheetId="9" r:id="rId6"/>
    <sheet name="Elemzési irány" sheetId="5" r:id="rId7"/>
    <sheet name="Medián érték" sheetId="7" r:id="rId8"/>
    <sheet name="Országok korlátozottsági indexe" sheetId="8" r:id="rId9"/>
    <sheet name="korrelációs együtthatók" sheetId="4" r:id="rId10"/>
    <sheet name="matrixseged" sheetId="11" r:id="rId11"/>
    <sheet name="korrelációs_mátrix" sheetId="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2" l="1"/>
  <c r="T18" i="12"/>
  <c r="T17" i="12"/>
  <c r="T16" i="12"/>
  <c r="T15" i="12"/>
  <c r="T14" i="12"/>
  <c r="T13" i="12"/>
  <c r="S12" i="12"/>
  <c r="S19" i="12"/>
  <c r="S18" i="12"/>
  <c r="S17" i="12"/>
  <c r="S16" i="12"/>
  <c r="S15" i="12"/>
  <c r="S14" i="12"/>
  <c r="S13" i="12"/>
  <c r="Q19" i="12"/>
  <c r="Q18" i="12"/>
  <c r="Q17" i="12"/>
  <c r="Q16" i="12"/>
  <c r="Q15" i="12"/>
  <c r="Q14" i="12"/>
  <c r="M13" i="13"/>
  <c r="L13" i="13"/>
  <c r="K13" i="13"/>
  <c r="M12" i="13"/>
  <c r="L12" i="13"/>
  <c r="K12" i="13"/>
  <c r="M11" i="13"/>
  <c r="L11" i="13"/>
  <c r="K11" i="13"/>
  <c r="M10" i="13"/>
  <c r="L10" i="13"/>
  <c r="K10" i="13"/>
  <c r="M9" i="13"/>
  <c r="L9" i="13"/>
  <c r="K9" i="13"/>
  <c r="M8" i="13"/>
  <c r="L8" i="13"/>
  <c r="K8" i="13"/>
  <c r="M7" i="13"/>
  <c r="L7" i="13"/>
  <c r="K7" i="13"/>
  <c r="B18" i="12"/>
  <c r="B17" i="12"/>
  <c r="B16" i="12"/>
  <c r="B15" i="12"/>
  <c r="B14" i="12"/>
  <c r="R13" i="12"/>
  <c r="O13" i="12"/>
  <c r="N13" i="12"/>
  <c r="M13" i="12"/>
  <c r="L13" i="12"/>
  <c r="K13" i="12"/>
  <c r="J13" i="12"/>
  <c r="I13" i="12"/>
  <c r="G13" i="12"/>
  <c r="F13" i="12"/>
  <c r="E13" i="12"/>
  <c r="D13" i="12"/>
  <c r="C13" i="12"/>
  <c r="O7" i="12"/>
  <c r="O19" i="12" s="1"/>
  <c r="N7" i="12"/>
  <c r="N19" i="12" s="1"/>
  <c r="M7" i="12"/>
  <c r="L7" i="12"/>
  <c r="L19" i="12" s="1"/>
  <c r="K7" i="12"/>
  <c r="J7" i="12"/>
  <c r="J19" i="12" s="1"/>
  <c r="I7" i="12"/>
  <c r="I19" i="12" s="1"/>
  <c r="H7" i="12"/>
  <c r="G7" i="12"/>
  <c r="G19" i="12" s="1"/>
  <c r="F7" i="12"/>
  <c r="F19" i="12" s="1"/>
  <c r="E7" i="12"/>
  <c r="E19" i="12" s="1"/>
  <c r="D7" i="12"/>
  <c r="C7" i="12"/>
  <c r="C19" i="12" s="1"/>
  <c r="B7" i="12"/>
  <c r="A7" i="12"/>
  <c r="B19" i="12" s="1"/>
  <c r="O6" i="12"/>
  <c r="O18" i="12" s="1"/>
  <c r="N6" i="12"/>
  <c r="N18" i="12" s="1"/>
  <c r="M6" i="12"/>
  <c r="L6" i="12"/>
  <c r="L18" i="12" s="1"/>
  <c r="K6" i="12"/>
  <c r="J6" i="12"/>
  <c r="J18" i="12" s="1"/>
  <c r="I6" i="12"/>
  <c r="I18" i="12" s="1"/>
  <c r="H6" i="12"/>
  <c r="G6" i="12"/>
  <c r="G18" i="12" s="1"/>
  <c r="F6" i="12"/>
  <c r="F18" i="12" s="1"/>
  <c r="E6" i="12"/>
  <c r="E18" i="12" s="1"/>
  <c r="D6" i="12"/>
  <c r="C6" i="12"/>
  <c r="C18" i="12" s="1"/>
  <c r="B6" i="12"/>
  <c r="A6" i="12"/>
  <c r="O5" i="12"/>
  <c r="O17" i="12" s="1"/>
  <c r="N5" i="12"/>
  <c r="N17" i="12" s="1"/>
  <c r="M5" i="12"/>
  <c r="M17" i="12" s="1"/>
  <c r="L5" i="12"/>
  <c r="L17" i="12" s="1"/>
  <c r="K5" i="12"/>
  <c r="J5" i="12"/>
  <c r="J17" i="12" s="1"/>
  <c r="I5" i="12"/>
  <c r="I17" i="12" s="1"/>
  <c r="H5" i="12"/>
  <c r="G5" i="12"/>
  <c r="G17" i="12" s="1"/>
  <c r="F5" i="12"/>
  <c r="F17" i="12" s="1"/>
  <c r="E5" i="12"/>
  <c r="E17" i="12" s="1"/>
  <c r="D5" i="12"/>
  <c r="C5" i="12"/>
  <c r="C17" i="12" s="1"/>
  <c r="B5" i="12"/>
  <c r="A5" i="12"/>
  <c r="O4" i="12"/>
  <c r="O16" i="12" s="1"/>
  <c r="N4" i="12"/>
  <c r="N16" i="12" s="1"/>
  <c r="M4" i="12"/>
  <c r="L4" i="12"/>
  <c r="L16" i="12" s="1"/>
  <c r="K4" i="12"/>
  <c r="J4" i="12"/>
  <c r="J16" i="12" s="1"/>
  <c r="I4" i="12"/>
  <c r="I16" i="12" s="1"/>
  <c r="H4" i="12"/>
  <c r="G4" i="12"/>
  <c r="G16" i="12" s="1"/>
  <c r="F4" i="12"/>
  <c r="F16" i="12" s="1"/>
  <c r="E4" i="12"/>
  <c r="E16" i="12" s="1"/>
  <c r="D4" i="12"/>
  <c r="D16" i="12" s="1"/>
  <c r="C4" i="12"/>
  <c r="C16" i="12" s="1"/>
  <c r="B4" i="12"/>
  <c r="A4" i="12"/>
  <c r="O3" i="12"/>
  <c r="O15" i="12" s="1"/>
  <c r="N3" i="12"/>
  <c r="N15" i="12" s="1"/>
  <c r="M3" i="12"/>
  <c r="M16" i="12" s="1"/>
  <c r="L3" i="12"/>
  <c r="L15" i="12" s="1"/>
  <c r="K3" i="12"/>
  <c r="K14" i="12" s="1"/>
  <c r="J3" i="12"/>
  <c r="J15" i="12" s="1"/>
  <c r="I3" i="12"/>
  <c r="I15" i="12" s="1"/>
  <c r="H3" i="12"/>
  <c r="G3" i="12"/>
  <c r="G15" i="12" s="1"/>
  <c r="F3" i="12"/>
  <c r="F15" i="12" s="1"/>
  <c r="E3" i="12"/>
  <c r="E15" i="12" s="1"/>
  <c r="D3" i="12"/>
  <c r="C3" i="12"/>
  <c r="C15" i="12" s="1"/>
  <c r="B3" i="12"/>
  <c r="A3" i="12"/>
  <c r="O2" i="12"/>
  <c r="O14" i="12" s="1"/>
  <c r="N2" i="12"/>
  <c r="N14" i="12" s="1"/>
  <c r="M2" i="12"/>
  <c r="L2" i="12"/>
  <c r="L14" i="12" s="1"/>
  <c r="K2" i="12"/>
  <c r="J2" i="12"/>
  <c r="J14" i="12" s="1"/>
  <c r="I2" i="12"/>
  <c r="I14" i="12" s="1"/>
  <c r="H2" i="12"/>
  <c r="G2" i="12"/>
  <c r="G14" i="12" s="1"/>
  <c r="F2" i="12"/>
  <c r="F14" i="12" s="1"/>
  <c r="E2" i="12"/>
  <c r="E14" i="12" s="1"/>
  <c r="D2" i="12"/>
  <c r="D17" i="12" s="1"/>
  <c r="C2" i="12"/>
  <c r="C14" i="12" s="1"/>
  <c r="B2" i="12"/>
  <c r="A2" i="12"/>
  <c r="A1" i="12"/>
  <c r="B13" i="12" s="1"/>
  <c r="I2" i="10"/>
  <c r="I3" i="10"/>
  <c r="I4" i="10"/>
  <c r="I5" i="10"/>
  <c r="I6" i="10"/>
  <c r="I7" i="10"/>
  <c r="J2" i="10"/>
  <c r="J3" i="10"/>
  <c r="J4" i="10"/>
  <c r="J5" i="10"/>
  <c r="J6" i="10"/>
  <c r="J7" i="10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" i="6"/>
  <c r="C1" i="6"/>
  <c r="D1" i="6"/>
  <c r="E1" i="6"/>
  <c r="F1" i="6"/>
  <c r="G1" i="6"/>
  <c r="H1" i="6"/>
  <c r="I1" i="6"/>
  <c r="J1" i="6"/>
  <c r="K1" i="6"/>
  <c r="L1" i="6"/>
  <c r="M1" i="6"/>
  <c r="N1" i="6"/>
  <c r="O1" i="6"/>
  <c r="P1" i="6"/>
  <c r="Q1" i="6"/>
  <c r="R1" i="6"/>
  <c r="S1" i="6"/>
  <c r="B1" i="6"/>
  <c r="C13" i="4"/>
  <c r="C11" i="4"/>
  <c r="C14" i="4"/>
  <c r="C12" i="4"/>
  <c r="C10" i="4"/>
  <c r="C9" i="4"/>
  <c r="C8" i="4"/>
  <c r="C7" i="4"/>
  <c r="C6" i="4"/>
  <c r="C5" i="4"/>
  <c r="C4" i="4"/>
  <c r="C3" i="4"/>
  <c r="C2" i="4"/>
  <c r="M3" i="7"/>
  <c r="M4" i="7"/>
  <c r="M5" i="7"/>
  <c r="M6" i="7"/>
  <c r="M7" i="7"/>
  <c r="M2" i="7"/>
  <c r="I3" i="7"/>
  <c r="I4" i="7"/>
  <c r="I5" i="7"/>
  <c r="I6" i="7"/>
  <c r="I7" i="7"/>
  <c r="I2" i="7"/>
  <c r="D14" i="5"/>
  <c r="D13" i="5"/>
  <c r="D12" i="5"/>
  <c r="D11" i="5"/>
  <c r="D10" i="5"/>
  <c r="D9" i="5"/>
  <c r="D8" i="5"/>
  <c r="D7" i="5"/>
  <c r="C7" i="5"/>
  <c r="D6" i="5"/>
  <c r="D5" i="5"/>
  <c r="D4" i="5"/>
  <c r="D3" i="5"/>
  <c r="C14" i="5"/>
  <c r="C13" i="5"/>
  <c r="C12" i="5"/>
  <c r="C11" i="5"/>
  <c r="C10" i="5"/>
  <c r="C9" i="5"/>
  <c r="C8" i="5"/>
  <c r="C6" i="5"/>
  <c r="C5" i="5"/>
  <c r="C4" i="5"/>
  <c r="C3" i="5"/>
  <c r="C2" i="5"/>
  <c r="K2" i="10"/>
  <c r="D2" i="5"/>
  <c r="A9" i="6"/>
  <c r="A5" i="6"/>
  <c r="A15" i="6"/>
  <c r="A17" i="6"/>
  <c r="A7" i="6"/>
  <c r="A12" i="6"/>
  <c r="A4" i="6"/>
  <c r="A11" i="6"/>
  <c r="A14" i="6"/>
  <c r="A8" i="6"/>
  <c r="A10" i="6"/>
  <c r="A16" i="6"/>
  <c r="A2" i="6"/>
  <c r="A13" i="6"/>
  <c r="A6" i="6"/>
  <c r="A19" i="6"/>
  <c r="A3" i="6"/>
  <c r="A18" i="6"/>
  <c r="K15" i="12" l="1"/>
  <c r="K16" i="12"/>
  <c r="K17" i="12"/>
  <c r="K18" i="12"/>
  <c r="K19" i="12"/>
  <c r="D14" i="12"/>
  <c r="M19" i="12"/>
  <c r="M15" i="12"/>
  <c r="D19" i="12"/>
  <c r="D15" i="12"/>
  <c r="D18" i="12"/>
  <c r="M14" i="12"/>
  <c r="M18" i="12"/>
  <c r="R13" i="10"/>
  <c r="Q13" i="10"/>
  <c r="C18" i="10"/>
  <c r="O3" i="10"/>
  <c r="O4" i="10"/>
  <c r="O5" i="10"/>
  <c r="O6" i="10"/>
  <c r="O7" i="10"/>
  <c r="N3" i="10"/>
  <c r="N4" i="10"/>
  <c r="R4" i="7" s="1"/>
  <c r="N5" i="10"/>
  <c r="N6" i="10"/>
  <c r="N7" i="10"/>
  <c r="N2" i="10"/>
  <c r="C2" i="10"/>
  <c r="C3" i="10"/>
  <c r="C15" i="10" s="1"/>
  <c r="C4" i="10"/>
  <c r="C16" i="10" s="1"/>
  <c r="C5" i="10"/>
  <c r="C17" i="10" s="1"/>
  <c r="C6" i="10"/>
  <c r="C7" i="10"/>
  <c r="C19" i="10" s="1"/>
  <c r="D2" i="10"/>
  <c r="E2" i="10"/>
  <c r="D3" i="10"/>
  <c r="E3" i="10"/>
  <c r="D4" i="10"/>
  <c r="E4" i="10"/>
  <c r="D5" i="10"/>
  <c r="E5" i="10"/>
  <c r="D6" i="10"/>
  <c r="E6" i="10"/>
  <c r="D7" i="10"/>
  <c r="E7" i="10"/>
  <c r="F2" i="10"/>
  <c r="F3" i="10"/>
  <c r="F4" i="10"/>
  <c r="F5" i="10"/>
  <c r="F6" i="10"/>
  <c r="F7" i="10"/>
  <c r="G2" i="10"/>
  <c r="G3" i="10"/>
  <c r="G4" i="10"/>
  <c r="G5" i="10"/>
  <c r="G6" i="10"/>
  <c r="G7" i="10"/>
  <c r="H2" i="10"/>
  <c r="H3" i="10"/>
  <c r="H4" i="10"/>
  <c r="H5" i="10"/>
  <c r="H6" i="10"/>
  <c r="H7" i="10"/>
  <c r="L2" i="10"/>
  <c r="R16" i="12" l="1"/>
  <c r="R3" i="7"/>
  <c r="R7" i="7"/>
  <c r="R6" i="7"/>
  <c r="R2" i="7"/>
  <c r="D18" i="5"/>
  <c r="C18" i="5"/>
  <c r="C18" i="4"/>
  <c r="R5" i="7"/>
  <c r="M3" i="10"/>
  <c r="M2" i="10"/>
  <c r="M4" i="10"/>
  <c r="M5" i="10"/>
  <c r="M6" i="10"/>
  <c r="M7" i="10"/>
  <c r="Q7" i="7" s="1"/>
  <c r="K3" i="10"/>
  <c r="K4" i="10"/>
  <c r="K5" i="10"/>
  <c r="K6" i="10"/>
  <c r="K7" i="10"/>
  <c r="F13" i="10"/>
  <c r="B3" i="10"/>
  <c r="B4" i="10"/>
  <c r="B5" i="10"/>
  <c r="B6" i="10"/>
  <c r="B7" i="10"/>
  <c r="C13" i="10"/>
  <c r="D13" i="10"/>
  <c r="A1" i="10"/>
  <c r="B2" i="10"/>
  <c r="D15" i="5" l="1"/>
  <c r="O3" i="7"/>
  <c r="C15" i="5"/>
  <c r="C15" i="4"/>
  <c r="O2" i="7"/>
  <c r="Q6" i="7"/>
  <c r="Q5" i="7"/>
  <c r="O7" i="7"/>
  <c r="Q4" i="7"/>
  <c r="O5" i="7"/>
  <c r="Q3" i="7"/>
  <c r="O6" i="7"/>
  <c r="C17" i="4"/>
  <c r="D17" i="5"/>
  <c r="C17" i="5"/>
  <c r="Q2" i="7"/>
  <c r="O4" i="7"/>
  <c r="O2" i="10"/>
  <c r="L3" i="10"/>
  <c r="L4" i="10"/>
  <c r="L5" i="10"/>
  <c r="L6" i="10"/>
  <c r="L7" i="10"/>
  <c r="P7" i="7" s="1"/>
  <c r="A3" i="10"/>
  <c r="B15" i="10" s="1"/>
  <c r="A4" i="10"/>
  <c r="B16" i="10" s="1"/>
  <c r="A5" i="10"/>
  <c r="B17" i="10" s="1"/>
  <c r="A6" i="10"/>
  <c r="B18" i="10" s="1"/>
  <c r="A7" i="10"/>
  <c r="B19" i="10" s="1"/>
  <c r="A2" i="10"/>
  <c r="B14" i="10" s="1"/>
  <c r="O13" i="10"/>
  <c r="N13" i="10"/>
  <c r="M13" i="10"/>
  <c r="L13" i="10"/>
  <c r="K13" i="10"/>
  <c r="J13" i="10"/>
  <c r="I13" i="10"/>
  <c r="G13" i="10"/>
  <c r="E13" i="10"/>
  <c r="B13" i="10"/>
  <c r="P5" i="7" l="1"/>
  <c r="P4" i="7"/>
  <c r="C19" i="5"/>
  <c r="S2" i="7"/>
  <c r="D19" i="5"/>
  <c r="C19" i="4"/>
  <c r="S7" i="7"/>
  <c r="S4" i="7"/>
  <c r="S6" i="7"/>
  <c r="S5" i="7"/>
  <c r="S3" i="7"/>
  <c r="P6" i="7"/>
  <c r="P3" i="7"/>
  <c r="C16" i="5"/>
  <c r="D16" i="5"/>
  <c r="C16" i="4"/>
  <c r="P2" i="7"/>
  <c r="E19" i="10"/>
  <c r="E16" i="10"/>
  <c r="G18" i="10"/>
  <c r="E17" i="10"/>
  <c r="G15" i="10"/>
  <c r="E15" i="10"/>
  <c r="C14" i="10"/>
  <c r="G19" i="10"/>
  <c r="G17" i="10"/>
  <c r="N14" i="10"/>
  <c r="G14" i="10"/>
  <c r="G16" i="10"/>
  <c r="E14" i="10"/>
  <c r="E18" i="10"/>
  <c r="K19" i="10" l="1"/>
  <c r="K14" i="10"/>
  <c r="M18" i="10"/>
  <c r="K17" i="10"/>
  <c r="K16" i="10"/>
  <c r="K15" i="10"/>
  <c r="N15" i="10"/>
  <c r="L17" i="10"/>
  <c r="O15" i="10"/>
  <c r="N18" i="10"/>
  <c r="N16" i="10"/>
  <c r="O16" i="10"/>
  <c r="N19" i="10"/>
  <c r="N17" i="10"/>
  <c r="L19" i="10"/>
  <c r="M17" i="10"/>
  <c r="M15" i="10"/>
  <c r="M16" i="10"/>
  <c r="M19" i="10"/>
  <c r="M14" i="10"/>
  <c r="L16" i="10"/>
  <c r="L15" i="10"/>
  <c r="K18" i="10"/>
  <c r="L14" i="10"/>
  <c r="J14" i="10"/>
  <c r="L18" i="10"/>
  <c r="J19" i="10"/>
  <c r="J16" i="10"/>
  <c r="J17" i="10"/>
  <c r="J15" i="10"/>
  <c r="J18" i="10"/>
  <c r="O19" i="10"/>
  <c r="O14" i="10"/>
  <c r="O17" i="10"/>
  <c r="O18" i="10"/>
  <c r="C65" i="8" l="1"/>
  <c r="D4" i="8"/>
  <c r="D5" i="8"/>
  <c r="D6" i="8"/>
  <c r="D7" i="8"/>
  <c r="D3" i="8"/>
  <c r="D13" i="8"/>
  <c r="D14" i="8"/>
  <c r="D15" i="8"/>
  <c r="D16" i="8"/>
  <c r="D12" i="8"/>
  <c r="D22" i="8"/>
  <c r="D23" i="8"/>
  <c r="D24" i="8"/>
  <c r="D25" i="8"/>
  <c r="D21" i="8"/>
  <c r="D31" i="8"/>
  <c r="D32" i="8"/>
  <c r="D33" i="8"/>
  <c r="D34" i="8"/>
  <c r="D30" i="8"/>
  <c r="D49" i="8"/>
  <c r="D50" i="8"/>
  <c r="D51" i="8"/>
  <c r="D52" i="8"/>
  <c r="D48" i="8"/>
  <c r="D40" i="8"/>
  <c r="D41" i="8"/>
  <c r="D42" i="8"/>
  <c r="D43" i="8"/>
  <c r="D39" i="8"/>
  <c r="B61" i="8"/>
  <c r="B62" i="8"/>
  <c r="B63" i="8"/>
  <c r="B64" i="8"/>
  <c r="B60" i="8"/>
  <c r="D2" i="9"/>
  <c r="E2" i="9"/>
  <c r="F2" i="9"/>
  <c r="G2" i="9"/>
  <c r="D3" i="9"/>
  <c r="E3" i="9"/>
  <c r="F3" i="9"/>
  <c r="G3" i="9"/>
  <c r="D4" i="9"/>
  <c r="E4" i="9"/>
  <c r="F4" i="9"/>
  <c r="G4" i="9"/>
  <c r="D5" i="9"/>
  <c r="E5" i="9"/>
  <c r="F5" i="9"/>
  <c r="G5" i="9"/>
  <c r="D6" i="9"/>
  <c r="E6" i="9"/>
  <c r="F6" i="9"/>
  <c r="G6" i="9"/>
  <c r="D7" i="9"/>
  <c r="E7" i="9"/>
  <c r="F7" i="9"/>
  <c r="G7" i="9"/>
  <c r="A2" i="9"/>
  <c r="C3" i="9"/>
  <c r="C4" i="9"/>
  <c r="C5" i="9"/>
  <c r="C6" i="9"/>
  <c r="C7" i="9"/>
  <c r="C2" i="9"/>
  <c r="B3" i="9"/>
  <c r="B4" i="9"/>
  <c r="B5" i="9"/>
  <c r="B6" i="9"/>
  <c r="B7" i="9"/>
  <c r="C18" i="9" s="1"/>
  <c r="B2" i="9"/>
  <c r="A3" i="9"/>
  <c r="A4" i="9"/>
  <c r="A5" i="9"/>
  <c r="A6" i="9"/>
  <c r="A7" i="9"/>
  <c r="A1" i="9"/>
  <c r="D12" i="9"/>
  <c r="G12" i="9"/>
  <c r="A14" i="9"/>
  <c r="H12" i="9"/>
  <c r="A13" i="9"/>
  <c r="A16" i="9"/>
  <c r="I12" i="9"/>
  <c r="F12" i="9"/>
  <c r="E12" i="9"/>
  <c r="A17" i="9"/>
  <c r="A15" i="9"/>
  <c r="A18" i="9"/>
  <c r="C13" i="9" l="1"/>
  <c r="H13" i="9" s="1"/>
  <c r="C17" i="9"/>
  <c r="F17" i="9" s="1"/>
  <c r="C16" i="9"/>
  <c r="I16" i="9" s="1"/>
  <c r="C15" i="9"/>
  <c r="H15" i="9" s="1"/>
  <c r="C14" i="9"/>
  <c r="D14" i="9" s="1"/>
  <c r="H18" i="9"/>
  <c r="E18" i="9"/>
  <c r="F18" i="9"/>
  <c r="I18" i="9"/>
  <c r="D18" i="9"/>
  <c r="G18" i="9"/>
  <c r="N7" i="7"/>
  <c r="L7" i="7"/>
  <c r="K7" i="7"/>
  <c r="J7" i="7"/>
  <c r="H7" i="7"/>
  <c r="G7" i="7"/>
  <c r="F7" i="7"/>
  <c r="E7" i="7"/>
  <c r="D7" i="7"/>
  <c r="C7" i="7"/>
  <c r="N6" i="7"/>
  <c r="L6" i="7"/>
  <c r="K6" i="7"/>
  <c r="J6" i="7"/>
  <c r="H6" i="7"/>
  <c r="G6" i="7"/>
  <c r="F6" i="7"/>
  <c r="E6" i="7"/>
  <c r="D6" i="7"/>
  <c r="C6" i="7"/>
  <c r="N5" i="7"/>
  <c r="L5" i="7"/>
  <c r="K5" i="7"/>
  <c r="J5" i="7"/>
  <c r="H5" i="7"/>
  <c r="G5" i="7"/>
  <c r="F5" i="7"/>
  <c r="E5" i="7"/>
  <c r="D5" i="7"/>
  <c r="C5" i="7"/>
  <c r="N4" i="7"/>
  <c r="L4" i="7"/>
  <c r="K4" i="7"/>
  <c r="J4" i="7"/>
  <c r="H4" i="7"/>
  <c r="G4" i="7"/>
  <c r="F4" i="7"/>
  <c r="E4" i="7"/>
  <c r="D4" i="7"/>
  <c r="C4" i="7"/>
  <c r="N3" i="7"/>
  <c r="L3" i="7"/>
  <c r="K3" i="7"/>
  <c r="J3" i="7"/>
  <c r="H3" i="7"/>
  <c r="G3" i="7"/>
  <c r="F3" i="7"/>
  <c r="E3" i="7"/>
  <c r="D3" i="7"/>
  <c r="C3" i="7"/>
  <c r="B7" i="7"/>
  <c r="B6" i="7"/>
  <c r="B5" i="7"/>
  <c r="B4" i="7"/>
  <c r="B3" i="7"/>
  <c r="C2" i="7"/>
  <c r="D2" i="7"/>
  <c r="E2" i="7"/>
  <c r="F2" i="7"/>
  <c r="G2" i="7"/>
  <c r="H2" i="7"/>
  <c r="J2" i="7"/>
  <c r="K2" i="7"/>
  <c r="L2" i="7"/>
  <c r="N2" i="7"/>
  <c r="B2" i="7"/>
  <c r="J15" i="8"/>
  <c r="J14" i="8"/>
  <c r="J13" i="8"/>
  <c r="J12" i="8"/>
  <c r="J11" i="8"/>
  <c r="I15" i="8"/>
  <c r="I14" i="8"/>
  <c r="I13" i="8"/>
  <c r="I12" i="8"/>
  <c r="I11" i="8"/>
  <c r="B52" i="8"/>
  <c r="B51" i="8"/>
  <c r="B50" i="8"/>
  <c r="B49" i="8"/>
  <c r="B48" i="8"/>
  <c r="B43" i="8"/>
  <c r="B42" i="8"/>
  <c r="B41" i="8"/>
  <c r="B40" i="8"/>
  <c r="B39" i="8"/>
  <c r="B34" i="8"/>
  <c r="B33" i="8"/>
  <c r="B32" i="8"/>
  <c r="B31" i="8"/>
  <c r="B30" i="8"/>
  <c r="B25" i="8"/>
  <c r="B24" i="8"/>
  <c r="B23" i="8"/>
  <c r="B22" i="8"/>
  <c r="B21" i="8"/>
  <c r="B16" i="8"/>
  <c r="B15" i="8"/>
  <c r="B14" i="8"/>
  <c r="B13" i="8"/>
  <c r="B12" i="8"/>
  <c r="B7" i="8"/>
  <c r="B5" i="8"/>
  <c r="B6" i="8"/>
  <c r="B4" i="8"/>
  <c r="B3" i="8"/>
  <c r="C31" i="8" l="1"/>
  <c r="E31" i="8" s="1"/>
  <c r="I13" i="9"/>
  <c r="D13" i="9"/>
  <c r="E13" i="9"/>
  <c r="C3" i="8"/>
  <c r="E3" i="8" s="1"/>
  <c r="C50" i="8"/>
  <c r="E50" i="8" s="1"/>
  <c r="G13" i="9"/>
  <c r="H17" i="9"/>
  <c r="F13" i="9"/>
  <c r="I17" i="9"/>
  <c r="C13" i="8"/>
  <c r="E13" i="8" s="1"/>
  <c r="C25" i="8"/>
  <c r="E25" i="8" s="1"/>
  <c r="C41" i="8"/>
  <c r="E41" i="8" s="1"/>
  <c r="C12" i="8"/>
  <c r="E12" i="8" s="1"/>
  <c r="C24" i="8"/>
  <c r="E24" i="8" s="1"/>
  <c r="I14" i="9"/>
  <c r="G17" i="9"/>
  <c r="C14" i="8"/>
  <c r="E14" i="8" s="1"/>
  <c r="C30" i="8"/>
  <c r="E30" i="8" s="1"/>
  <c r="C43" i="8"/>
  <c r="E43" i="8" s="1"/>
  <c r="C32" i="8"/>
  <c r="E32" i="8" s="1"/>
  <c r="C48" i="8"/>
  <c r="E48" i="8" s="1"/>
  <c r="F15" i="9"/>
  <c r="C6" i="8"/>
  <c r="E6" i="8" s="1"/>
  <c r="C21" i="8"/>
  <c r="E21" i="8" s="1"/>
  <c r="C49" i="8"/>
  <c r="E49" i="8" s="1"/>
  <c r="C52" i="8"/>
  <c r="E52" i="8" s="1"/>
  <c r="C5" i="8"/>
  <c r="E5" i="8" s="1"/>
  <c r="C34" i="8"/>
  <c r="E34" i="8" s="1"/>
  <c r="C7" i="8"/>
  <c r="E7" i="8" s="1"/>
  <c r="C23" i="8"/>
  <c r="E23" i="8" s="1"/>
  <c r="C39" i="8"/>
  <c r="E39" i="8" s="1"/>
  <c r="C51" i="8"/>
  <c r="E51" i="8" s="1"/>
  <c r="C4" i="8"/>
  <c r="E4" i="8" s="1"/>
  <c r="D17" i="9"/>
  <c r="H14" i="9"/>
  <c r="C40" i="8"/>
  <c r="E40" i="8" s="1"/>
  <c r="E17" i="9"/>
  <c r="C22" i="8"/>
  <c r="E22" i="8" s="1"/>
  <c r="E16" i="9"/>
  <c r="C16" i="8"/>
  <c r="E16" i="8" s="1"/>
  <c r="I15" i="9"/>
  <c r="G15" i="9"/>
  <c r="G16" i="9"/>
  <c r="D16" i="9"/>
  <c r="C33" i="8"/>
  <c r="E33" i="8" s="1"/>
  <c r="C42" i="8"/>
  <c r="E42" i="8" s="1"/>
  <c r="F16" i="9"/>
  <c r="H16" i="9"/>
  <c r="E14" i="9"/>
  <c r="C15" i="8"/>
  <c r="E15" i="8" s="1"/>
  <c r="E15" i="9"/>
  <c r="D15" i="9"/>
  <c r="F14" i="9"/>
  <c r="G14" i="9"/>
  <c r="F19" i="9" l="1"/>
  <c r="G19" i="9"/>
  <c r="I19" i="9"/>
  <c r="E8" i="8"/>
  <c r="H19" i="9"/>
  <c r="E35" i="8"/>
  <c r="E44" i="8"/>
  <c r="E53" i="8"/>
  <c r="E17" i="8"/>
  <c r="E26" i="8"/>
  <c r="D19" i="9"/>
  <c r="E19" i="9"/>
  <c r="B14" i="4"/>
  <c r="B12" i="4"/>
  <c r="B11" i="4"/>
  <c r="B10" i="4"/>
  <c r="B9" i="4" l="1"/>
  <c r="B17" i="4"/>
  <c r="B15" i="4"/>
  <c r="B16" i="4"/>
  <c r="B18" i="4"/>
  <c r="D14" i="4"/>
  <c r="D11" i="4"/>
  <c r="D10" i="4"/>
  <c r="D9" i="4"/>
  <c r="D12" i="4"/>
  <c r="B2" i="4"/>
  <c r="B8" i="4"/>
  <c r="B6" i="4"/>
  <c r="B7" i="4"/>
  <c r="B5" i="4"/>
  <c r="B4" i="4"/>
  <c r="B3" i="4"/>
  <c r="B19" i="4"/>
  <c r="B13" i="4"/>
  <c r="D17" i="4" l="1"/>
  <c r="D13" i="4"/>
  <c r="D16" i="4"/>
  <c r="T7" i="7"/>
  <c r="D2" i="4"/>
  <c r="D15" i="4"/>
  <c r="D19" i="4"/>
  <c r="D8" i="4"/>
  <c r="T6" i="7"/>
  <c r="D6" i="4"/>
  <c r="D4" i="4"/>
  <c r="T2" i="7"/>
  <c r="D7" i="4"/>
  <c r="T3" i="7"/>
  <c r="T5" i="7"/>
  <c r="D5" i="4"/>
  <c r="D3" i="4"/>
  <c r="D18" i="4"/>
  <c r="T4" i="7"/>
  <c r="D18" i="10"/>
  <c r="I14" i="10"/>
  <c r="D15" i="10"/>
  <c r="F14" i="10"/>
  <c r="I19" i="10" l="1"/>
  <c r="I15" i="10"/>
  <c r="I16" i="10"/>
  <c r="F19" i="10"/>
  <c r="D14" i="10"/>
  <c r="P14" i="10" s="1"/>
  <c r="D19" i="10"/>
  <c r="F15" i="10"/>
  <c r="P15" i="10" s="1"/>
  <c r="D16" i="10"/>
  <c r="F17" i="10"/>
  <c r="F16" i="10"/>
  <c r="I17" i="10"/>
  <c r="D17" i="10"/>
  <c r="F18" i="10"/>
  <c r="I18" i="10"/>
  <c r="P18" i="10" l="1"/>
  <c r="R15" i="10"/>
  <c r="Q15" i="10"/>
  <c r="R14" i="10"/>
  <c r="Q14" i="10"/>
  <c r="R18" i="10"/>
  <c r="Q18" i="10"/>
  <c r="P19" i="10"/>
  <c r="P16" i="10"/>
  <c r="P17" i="10"/>
  <c r="R16" i="10" l="1"/>
  <c r="Q16" i="10"/>
  <c r="Q17" i="10"/>
  <c r="R17" i="10"/>
  <c r="Q19" i="10"/>
  <c r="R19" i="10"/>
</calcChain>
</file>

<file path=xl/sharedStrings.xml><?xml version="1.0" encoding="utf-8"?>
<sst xmlns="http://schemas.openxmlformats.org/spreadsheetml/2006/main" count="685" uniqueCount="307">
  <si>
    <t>Ország</t>
  </si>
  <si>
    <t>Szabad terület (km²)</t>
  </si>
  <si>
    <t>Szabad terület aránya (%)</t>
  </si>
  <si>
    <t>Regisztrált üzemeltetők</t>
  </si>
  <si>
    <t>Operatív engedélyek</t>
  </si>
  <si>
    <t>A1/A3 tanúsítványok</t>
  </si>
  <si>
    <t>A2 tanúsítványok</t>
  </si>
  <si>
    <t>Magyarország</t>
  </si>
  <si>
    <t>Ausztria</t>
  </si>
  <si>
    <t>Románia</t>
  </si>
  <si>
    <t>Szlovákia</t>
  </si>
  <si>
    <t>Szlovénia</t>
  </si>
  <si>
    <t>Németország</t>
  </si>
  <si>
    <t>Teljes terület (km²)</t>
  </si>
  <si>
    <t>Tiltott légterek (km²)</t>
  </si>
  <si>
    <t>Korlátozott légterek (km²)</t>
  </si>
  <si>
    <t>Katonai zónák (km²)</t>
  </si>
  <si>
    <t>Repülőtér zónák (km²)</t>
  </si>
  <si>
    <t>Természetvédelmi területek (km²)</t>
  </si>
  <si>
    <t>A2 tanusítvány arány (%)</t>
  </si>
  <si>
    <t>A1/A3 tanusítvány arány (%)</t>
  </si>
  <si>
    <t>Tanusítvány/Üzemeltető arány</t>
  </si>
  <si>
    <t xml:space="preserve">Operatív engedély /Üzemeltető arány (%)  </t>
  </si>
  <si>
    <t>A2 tanusítvány / A1-A3 tanusítvány arány (%)</t>
  </si>
  <si>
    <t>%</t>
  </si>
  <si>
    <t>korreláció</t>
  </si>
  <si>
    <t>Szabad terület / A1-A3 pilóta (km2/pilóta)</t>
  </si>
  <si>
    <t>Téma</t>
  </si>
  <si>
    <t>Leírás</t>
  </si>
  <si>
    <t>Célkitűzés</t>
  </si>
  <si>
    <t>Módszertan</t>
  </si>
  <si>
    <t>Vizsgált adatok</t>
  </si>
  <si>
    <t>Az adatok, melyek a szabályozásokat, tiltott légtereket, engedélyek számát, és drónosztályokat tartalmazzák.</t>
  </si>
  <si>
    <t>Használt eszközök</t>
  </si>
  <si>
    <t>Kutatási téma</t>
  </si>
  <si>
    <t>Túl korlátozott-e a Magyar dróntörvény a környező országok drónszabályaihoz képest?</t>
  </si>
  <si>
    <t>Vizsgált országok</t>
  </si>
  <si>
    <t>Magyarország és 5 környező ország: Ausztria, Románia, Szlovákia, Szlovénia, Németország</t>
  </si>
  <si>
    <t xml:space="preserve"> A kutatás célja annak vizsgálata, hogy a Magyar dróntörvény túl szigorú-e a környező országokhoz képest, és mely mutatókat figylembe véve mérjük meg a szigorúságot. A cél annak megállapítása, hogy a magyar szabályozás túl szigorú-e, vagy inkább arányos a többi ország szabályozásához képest, a következő mutatók alapján: tiltott légtér; korlátozott légtér; katonai zóna; stb. /Munkalap: Országok mutatói/</t>
  </si>
  <si>
    <t xml:space="preserve">Mutató </t>
  </si>
  <si>
    <t>km2</t>
  </si>
  <si>
    <t>fő</t>
  </si>
  <si>
    <t>db</t>
  </si>
  <si>
    <t>km2/pilóta</t>
  </si>
  <si>
    <t>Mutató</t>
  </si>
  <si>
    <t>Iránykód</t>
  </si>
  <si>
    <t>Hatás</t>
  </si>
  <si>
    <t>Magyarázat</t>
  </si>
  <si>
    <t>Mértékegység</t>
  </si>
  <si>
    <t>A katonai zónákban nem lehet repülni, tehát minél kevesebb van, annál jobb – csökkenés a pozitív irány.</t>
  </si>
  <si>
    <t>Ezeken nem lehet repülni, tehát ha kevesebb van, az jobb – csökkenés pozitív.</t>
  </si>
  <si>
    <t>Minél többen repülnek legálisan, annál jobb – tehát növekedés pozitív.</t>
  </si>
  <si>
    <t>Érték</t>
  </si>
  <si>
    <t>Korrelációs érték</t>
  </si>
  <si>
    <t>Jelentés</t>
  </si>
  <si>
    <t>Szín</t>
  </si>
  <si>
    <t>Nincs kapcsolat ,
a két változó nem befolyásolja 
egymást láthatóan , linerális módon</t>
  </si>
  <si>
    <t>Tökéletes pozitív lineáris kapcsolat van 
a két változó között. Ez azt jelenti, hogy 
amikor az egyik változó értéke növekszik,
 a másik változó értéke is pontosan 
arányosan növekszik. A változók pontosan 
ugyanazon irányba mozognak</t>
  </si>
  <si>
    <t>Excel táblázatok, statisztikai módszerek.</t>
  </si>
  <si>
    <t xml:space="preserve">Erős negatív kapcsolat két változó között
ha az egyik változó növekszik, akkor a másik 
ugyanolyan mértékben csökken. 
Például, ha a tiltott légterek terüülete 
növekszik, akkor ezzel arányosan csökken 
a szabadon használható drónterület. 
A két változó ellentétes irányban mozog. </t>
  </si>
  <si>
    <t>A nagyobb országokban több szabad
 drónhasználatra alkalmas térület van.</t>
  </si>
  <si>
    <t>Több tiltott terület ellenére is lehet 
összességében elég használható szabad tér.</t>
  </si>
  <si>
    <t>Nincs számottevő kapcsolat , a korlátozások
 szinta alig befolyásolják a lehetőségeket.</t>
  </si>
  <si>
    <t>A katonai tiltott területi zónák szinte alig befolyásolják a drónhasználatot.</t>
  </si>
  <si>
    <t>A repülőtéri korlátozásoknak, minimális a hatása van az általános használatra</t>
  </si>
  <si>
    <t>A természetvédelmi korlátozások és a szabad területek aránya, 
szintén nem jelentős az országok szintjén.</t>
  </si>
  <si>
    <t>Minél több a szabad terület, annál jobbak a drónhasználati lehetőségek.</t>
  </si>
  <si>
    <t>Tökéletes pozitív kapcsolat: döntően ez határozza meg a használhatóságot</t>
  </si>
  <si>
    <t>A több üzemeltető nem feltétlen jelent automatikusan jobb környezetet</t>
  </si>
  <si>
    <t>Több tanúsítvány nem jelent több lehetőséget , inkább egy szabályozási nyomást, korlátozást jelezhet.</t>
  </si>
  <si>
    <t>Magyarázat a hatásra , a korrelációs érték és a mutatók viszonya kapcsán</t>
  </si>
  <si>
    <t>Az A2 tanusítvány arány  nem döntő, de minimálisan pozitív hatás vált ki.</t>
  </si>
  <si>
    <t>Alig van kapcsolat, ez nem javítja fel a repülési lehetőségeket</t>
  </si>
  <si>
    <t>A több engedély önmagában nem jelenti azt, hogy jobb a gyakorlati szabadság.</t>
  </si>
  <si>
    <t>Ott, ahol kevesebb A2 szükséges az A1/A3-hoz képest, 
általában nagyobb a szabad használhatóság , vagyis nem szükséges szigorúbb jogosítás.</t>
  </si>
  <si>
    <t>Ha kevés pilótára sok szabad terület jut, az kedvezőbb a drónhasználat szempontjából.</t>
  </si>
  <si>
    <t>A több engedély aránya kis mértékben pozitívan korrelál a használhatósággal , 
ami inkább alkalmazkodás, nem a szabad használat tükrözése.</t>
  </si>
  <si>
    <t>A2 tanusítvány szám azt jelzi, hogy sok pilóta kénytelen komolyabb jogosítványt szerezni, 
ami szigorúbb szabályozásra utalhat</t>
  </si>
  <si>
    <t>A minimális pozitív kapcsolat, nem egy számottevő tényező,
igazából egy semleges kapcsolat, vagy egy enyhén negatív
Nagyon gyenge negatív kapcsolat, vagyis az A1/A3 tanúsítvány arány gyakorlatilag 
nincs nagyon hatással a drónhasználat szabadságára</t>
  </si>
  <si>
    <t>Több tanúsítvány = több képzett pilóta abből adódik, hogy a növekedés jó.</t>
  </si>
  <si>
    <t>Ha ez az arány túl nagy, akkor az aránytalanságot jelezhet, csökken a  pozitív hatás.</t>
  </si>
  <si>
    <t>Ha egy ember túl sok tanúsítvánnyal rendelkezik, torzulás lehet, így a kisebb arány, a jó.</t>
  </si>
  <si>
    <t>Ahol tilos drónt reptetni</t>
  </si>
  <si>
    <t>Külön engedéllyel használható</t>
  </si>
  <si>
    <t>Jellemzően zárt vagy engedélyköteles</t>
  </si>
  <si>
    <t>Automatikus repülési tilalom a közelség miatt</t>
  </si>
  <si>
    <t>Általában tilos vagy erősen szabályozott</t>
  </si>
  <si>
    <t>Indoklás</t>
  </si>
  <si>
    <t>Korlátozott mutatók</t>
  </si>
  <si>
    <t>Normál érték (0-1)</t>
  </si>
  <si>
    <t>Súlyozott szám (feltételezett súlyozás)</t>
  </si>
  <si>
    <t>Részpontszám (Normál érték * Súly)</t>
  </si>
  <si>
    <t>Alacsony jelentőségű (pl. kisebb kiegészítő mutató)</t>
  </si>
  <si>
    <t>Közepes jelentőségű</t>
  </si>
  <si>
    <t>0,15–0,20</t>
  </si>
  <si>
    <t>Fontos mutató, nagy hatással van a korlátozottságra</t>
  </si>
  <si>
    <t>&gt; 0,20</t>
  </si>
  <si>
    <t>Ritka, de lehetséges, ha egyetlen tényező dominál</t>
  </si>
  <si>
    <t>Súlyérték</t>
  </si>
  <si>
    <t>Súlyozás értelmező segédtábla</t>
  </si>
  <si>
    <t>Mutatók</t>
  </si>
  <si>
    <t xml:space="preserve"> Maximum érték országok</t>
  </si>
  <si>
    <t>Minimum érték országok</t>
  </si>
  <si>
    <t>Összesített részpontszám
korlátozott mutatók összesített száma:</t>
  </si>
  <si>
    <t>Teljes terület (km²)
Medián értéke 1 szigorú /0 enyhe</t>
  </si>
  <si>
    <t>Tiltott légterek (km²)
Medián értéke 1 szigorú /0 enyhe</t>
  </si>
  <si>
    <t>Korlátozott légterek (km²)
Medián értéke 1 szigorú /0 enyhe</t>
  </si>
  <si>
    <t>Katonai zónák (km²)
Medián értéke 1 szigorú /0 enyhe</t>
  </si>
  <si>
    <t>Repülőtér zónák (km²)
Medián értéke 1 szigorú /0 enyhe</t>
  </si>
  <si>
    <t>Természetvédelmi területek (km²)
Medián értéke 1 szigorú /0 enyhe</t>
  </si>
  <si>
    <t>Szabad terület (km²)
Medián értéke 1 szigorú /0 enyhe</t>
  </si>
  <si>
    <t>Szabad terület aránya (%)
Medián értéke 1 szigorú /0 enyhe</t>
  </si>
  <si>
    <t>Regisztrált üzemeltetők 
Medián értéke 1 szigorú /0 enyhe</t>
  </si>
  <si>
    <t>Operatív engedélyek
Medián értéke 1 szigorú /0 enyhe</t>
  </si>
  <si>
    <t>A1/A3 tanúsítványok
Medián értéke 1 szigorú /0 enyhe</t>
  </si>
  <si>
    <t>A1/A3 tanusítvány arány (%)
Medián értéke 1 szigorú /0 enyhe</t>
  </si>
  <si>
    <t>A2 tanúsítványok
Medián értéke 1 szigorú /0 enyhe</t>
  </si>
  <si>
    <t>A2 tanusítvány arány (%)
Medián értéke 1 szigorú /0 enyhe</t>
  </si>
  <si>
    <t>Tanusítvány/Üzemeltető arány
Medián értéke 1 szigorú /0 enyhe</t>
  </si>
  <si>
    <t xml:space="preserve">Operatív engedély /Üzemeltető arány (%) 
Medián értéke 1 szigorú /0 enyhe </t>
  </si>
  <si>
    <t>A2 tanusítvány / A1-A3 tanusítvány arány (%)
Medián értéke 1 szigorú /0 enyhe</t>
  </si>
  <si>
    <t>Szabad terület / A1-A3 pilóta (km2/pilóta)
Medián értéke 1 szigorú /0 enyhe</t>
  </si>
  <si>
    <t>Korrelációs alapú
elemzési irány</t>
  </si>
  <si>
    <t>Medián alapú 
elemzési irány</t>
  </si>
  <si>
    <t>A nagyobb terület több potenciális repülési helyet jelent, ezért a növekedés pozitív irányként értelmezhető.</t>
  </si>
  <si>
    <t>Több tiltott légtér a szabályozottság jele lehet, nem feltétlen negatív; ezért a növekedést pozitív irányként kezeli a medián alapú irány.</t>
  </si>
  <si>
    <t>A korlátozás lehet kezelhető és időszakos, ezért a növekedést nem feltétlen rossz, így pozitívként értelmezzük.</t>
  </si>
  <si>
    <t>Több repülőtér lehet több lehetőség is – növekedés pozitív irány.</t>
  </si>
  <si>
    <t>Egyértelműen: minél több a szabad terület, annál jobb – növekedés pozitív irány</t>
  </si>
  <si>
    <t xml:space="preserve"> Ha a teljes területhez viszonyítva nő a szabad rész aránya, az kedvező – ezért a növekedés pozitív irány.</t>
  </si>
  <si>
    <t>Több engedély = több hivatalos működés, ebből következhet, hogy a növekedés a pozitív irány.</t>
  </si>
  <si>
    <t>Ha az arány túl magas , akkor lehet, hogy egyoldalú a képzés , amiből az következik, hogy  kisebb arány lehet kedvezőbb irány.</t>
  </si>
  <si>
    <t>Több A2-es tanúsítvány, miatt jobb képzettség, több repülési lehetőség, így a  növekedés pozitív.</t>
  </si>
  <si>
    <t>Ha túl kevés embernél van az összes engedély, az  sem jó, így a kisebb arány a jobb.</t>
  </si>
  <si>
    <t>Ha az A2 arány túl magas, az is aránytalanság, így ennek a  kisebb értéke a kedvező.</t>
  </si>
  <si>
    <t>Minél több szabad terület jut egy pilótára, annál kevésbé zsúfolt a légtér – tehát növekedés pozitív irány.</t>
  </si>
  <si>
    <t>Országok médián értékének összesítése</t>
  </si>
  <si>
    <t>Szabad terület / Teljes terület (%)</t>
  </si>
  <si>
    <t>Tiltott + korlátorzott terület / Teljes terület (%)</t>
  </si>
  <si>
    <t>Szabad terület / A1-A3 pilóta (km2)/pilota)</t>
  </si>
  <si>
    <t>A1-A3 tanúsítvány / Üzemeltető(%)</t>
  </si>
  <si>
    <t>A2/A1-A3 tanusítvány (%)</t>
  </si>
  <si>
    <t>Operatív engedély / Üzemeltető (%)</t>
  </si>
  <si>
    <t>Segéd tábla , a korlátozottsági 
mutatók és összehasonlító referenciaértékek kapcsán.</t>
  </si>
  <si>
    <r>
      <t xml:space="preserve">Ha  &lt;  középérték, akkor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</si>
  <si>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t>Ha  &gt;  középérték , akkor  1 (szigorú)</t>
  </si>
  <si>
    <r>
      <t xml:space="preserve">Ha  &gt;  középérték,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</si>
  <si>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r>
      <t xml:space="preserve">Ha  &lt;  középérték , akkor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</si>
  <si>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r>
      <t xml:space="preserve">Ha  &gt;  középérték, akkor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</si>
  <si>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t>Értelmezési logika (irány) kritérium</t>
  </si>
  <si>
    <t>Összegző iránykód (pontozás):</t>
  </si>
  <si>
    <t>Középérték példa</t>
  </si>
  <si>
    <t>Súlyozott szám (feltéterlezett súlyozás)</t>
  </si>
  <si>
    <t>arányos érték</t>
  </si>
  <si>
    <t>Legszígorubb korlátozás, így a 
legnagyobb hangsúlyt kaptak</t>
  </si>
  <si>
    <t>Kevésbé szigorúak, de engedélyköteles</t>
  </si>
  <si>
    <t>fontos, de kisebb hatású</t>
  </si>
  <si>
    <t>szűkebb körű, de figyelembe 
veendő korlátozás</t>
  </si>
  <si>
    <t>Fontos biztonsági területek, ahol
 automatikus repülési tilalom van a közelség 
miatt, ezért jelentős, de a tiltott 
légterekhez képest kevésbé szigorú korlátozást jelentenek.</t>
  </si>
  <si>
    <t>Súlyozott szám  összege:</t>
  </si>
  <si>
    <t xml:space="preserve">Súlyok összege 1,00 legyen, az összes 
tényező együtt adja ki 
a teljes képet, vagyis 100%-ot </t>
  </si>
  <si>
    <t xml:space="preserve"> A kutatás során az egyes országok drónszabályozásának szigorúságát mérem az irányszabályok és a hozzájuk kapcsolódó mutatók figyelembevételével. Minden mutatót egy adott ország irányszabályaihoz viszonyítok. A kutatásban korrelációs elemzést végzek a különböző mutatók között annak megállapítására, hogy milyen kapcsolat áll fenn azok között.
Például:
Minél nagyobb a tiltott légtérek területe, annál kevesebb az esetlegesen regisztrált üzemeltetők száma. A korrelációs elemzés segítségével vizsgálom, hogy a két mutató negatív kapcsolatban áll-e egymással (vagyis, hogy a tiltott légtér növekedése a regisztrált üzemeltetők számának csökkenését eredményezi-e).
A korrelációs együtthatók kiszámításához különböző mutatók és irányszabályok közötti kapcsolatokat elemzem, és ezek viszonya alapján vonok le következtetéseket.                     /Munkalap: korrelációs együtthatók/. Vizsgálom még több ellemzési értékek alapjánis , például medián érték, amely egy statisztikai középérték,  egy adathalmaz értékeit rendezetten, növekvő sorrendbe állítva a középen elhelyezkedő elemett jelenti. Valamint korlátozottsági index alapjá is, ahol egy megadott súlyozási ponthalmaz alapján osztályozom a mutatók súlyozott értékét, és az alapján heléyezem be a szigorúsággi szint szerint. /munkalap: Országok korlátozottsági indexe/</t>
  </si>
  <si>
    <t>Összefoglalás:</t>
  </si>
  <si>
    <t>A kutatás eredményei alapján megállapítható, hogy a magyar dróntörvény a környező országokhoz képest valóban szigorúnak tekinthető. A vizsgált mutatók – mint a tiltott és korlátozott légterek aránya, a katonai zónák elhelyezkedése, a regisztrációs kötelezettségek és az engedélykérés folyamata – alapján Magyarország több ponton korlátozóbb szabályozást alkalmaz.
A korrelációs elemzések azt mutatták, hogy nagyobb tiltott légtérrel rendelkező országokban általában kevesebb a regisztrált üzemeltető. A medián és korlátozottsági index alapján is Magyarország a szigorúbb szabályozású országok közé sorolható.
Ez arra utal, hogy hazánkban a drónhasználatot jelentősebb mértékben korlátozzák, mint például Szlovákiában vagy Ausztriában, így a jelenlegi szabályozás sok szempontból túlzónak tekinthető.</t>
  </si>
  <si>
    <t xml:space="preserve">Források: </t>
  </si>
  <si>
    <t>Hivatkozott jogszabály: https://net.jogtar.hu/jogszabaly?docid=a2100038.kor</t>
  </si>
  <si>
    <t>·         EASA (European Union Aviation Safety Agency) UAS Mapping Tool – drónrepülésre alkalmas zónák és légterek EASA – European Union Aviation Safety Agency</t>
  </si>
  <si>
    <t>https://www.easa.europa.eu/en/domains/civil-drones</t>
  </si>
  <si>
    <t>·         EASA drónregisztrációs és tanúsítási statisztikák – regisztrált üzemeltetők, A1/A3 és A2 tanúsítványok</t>
  </si>
  <si>
    <t>https://experience.arcgis.com/experience/1cad6eae759746c0a2cc8cb85f6db776</t>
  </si>
  <si>
    <t>·         Nemzeti légtérszabályozási hatóságok hivatalos adatai – országonként eltérő adatközlés</t>
  </si>
  <si>
    <t>Droniq (Németország)</t>
  </si>
  <si>
    <t>https://map.droniq.de/</t>
  </si>
  <si>
    <t>Austro Control (Ausztria)</t>
  </si>
  <si>
    <t>https://www.dronespace.at</t>
  </si>
  <si>
    <t>·         Geoportal Romania (Románia)</t>
  </si>
  <si>
    <t>https://www.caa.ro</t>
  </si>
  <si>
    <t xml:space="preserve">Hungarocontrol (Magyarország) – magyar zónatérkép </t>
  </si>
  <si>
    <t>https://terkep.droneinfo.hu</t>
  </si>
  <si>
    <t>·         Wikipedia – Országok területe (km²) https://en.wikipedia.org/wiki/List_of_countries_and_dependencies_by_area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</si>
  <si>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</rPr>
      <t>Drónüzemeletető és drónpilóta EASA szabályozás és információs oldal</t>
    </r>
  </si>
  <si>
    <t>https://www.easa.europa.eu/hu/light/topics/drone-operators-pilots</t>
  </si>
  <si>
    <r>
      <t>·</t>
    </r>
    <r>
      <rPr>
        <sz val="7"/>
        <color theme="1"/>
        <rFont val="Times New Roman"/>
        <family val="1"/>
        <charset val="238"/>
      </rPr>
      <t xml:space="preserve">           </t>
    </r>
    <r>
      <rPr>
        <sz val="11"/>
        <color theme="1"/>
        <rFont val="Cambria"/>
        <family val="1"/>
        <charset val="238"/>
      </rPr>
      <t>Minden ami a drónozással kapcsolatos Magyar információs oldal</t>
    </r>
  </si>
  <si>
    <t>irányszabály</t>
  </si>
  <si>
    <t>idealitáspontszám</t>
  </si>
  <si>
    <t>sorszám</t>
  </si>
  <si>
    <t>Minél kisebb a teljes területhez képest a szabad légtér aránya, ANNÁL RESTRIKTÍVEBB A SZABÁLYOZÁS AZ ADOTT ORSZÁGBAN</t>
  </si>
  <si>
    <t>Minél kisebb a pilótánként elérhető szabad légtér, ANNÁL RESTRIKTÍVEBB A SZABÁLYOZÁS AZ ADOTT ORSZÁGBAN</t>
  </si>
  <si>
    <t>iránykód (1 szigorubb/0 enyhébb)</t>
  </si>
  <si>
    <t>Természetvédelmi területek aránya (%)</t>
  </si>
  <si>
    <t>Repülőtér zónák aránya (%)</t>
  </si>
  <si>
    <t>Katonai zónák aránya (%)</t>
  </si>
  <si>
    <t>Korlátozott légterek aránya (%)</t>
  </si>
  <si>
    <t>Tiltott légtér aránya (%)</t>
  </si>
  <si>
    <t>Minél nagyobb a teljes területhez viszonyított tiltott légtér aránya, ANNÁL RESTRIKTÍVEBB A SZABÁLYOZÁS AZ ADOTT ORSZÁGBAN</t>
  </si>
  <si>
    <t>Minél nagyobb a teljes területhez viszonyított repülőtér zónák aránya  , ANNÁL RESTRIKTÍVEBB A SZABÁLYOZÁS AZ ADOTT ORSZÁGBAN</t>
  </si>
  <si>
    <t>Minél nagyobb a teljes területhez viszonyított természetvédelmi területek aránya , ANNÁL RESTRIKTÍVEBB A SZABÁLYOZÁS AZ ADOTT ORSZÁGBAN</t>
  </si>
  <si>
    <t>Minél nagyobb az A2 tanusítvány aránya az A1-A3 tanusítványhoz képest,ANNÁL RESTRIKTÍVEBB A SZABÁLYOZÁS AZ ADOTT ORSZÁGBAN</t>
  </si>
  <si>
    <t>Minél nagyobb a teljes területhez viszonyított korlátozott légterek aránya, ANNÁL RESTRIKTÍVEBB A SZABÁLYOZÁS AZ ADOTT ORSZÁGBAN</t>
  </si>
  <si>
    <t>Minél nagyobb a teljes területhez viszonyított katonai zónák aránya , ANNÁL RESTRIKTÍVEBB A SZABÁLYOZÁS AZ ADOTT ORSZÁGBAN</t>
  </si>
  <si>
    <t>Minél (kisebb) kevesebb tanusítvány jut egy üzemeltetőre, ANNÁL RESTRIKTÍVEBB A SZABÁLYOZÁS AZ ADOTT ORSZÁGBAN</t>
  </si>
  <si>
    <t>Minél (kisebb) kevesebb operatív engedély jut egy üzemeltetőre ,ANNÁL RESTRIKTÍVEBB A SZABÁLYOZÁS AZ ADOTT ORSZÁGBAN</t>
  </si>
  <si>
    <t>idealitáspont-tartomány</t>
  </si>
  <si>
    <t>0-34</t>
  </si>
  <si>
    <t>35-44</t>
  </si>
  <si>
    <t>OAM szint</t>
  </si>
  <si>
    <t>Jelleg , besorolás</t>
  </si>
  <si>
    <t>Nyitott, kedvező környezet</t>
  </si>
  <si>
    <t>Mérsékelten korlátozott</t>
  </si>
  <si>
    <t>Korlátozó</t>
  </si>
  <si>
    <t>Erősen szabályzott, szigorú</t>
  </si>
  <si>
    <t>OAM-1</t>
  </si>
  <si>
    <t>OAM-2</t>
  </si>
  <si>
    <t>OAM-3</t>
  </si>
  <si>
    <t>OAM-4</t>
  </si>
  <si>
    <t>45-54</t>
  </si>
  <si>
    <t>55+</t>
  </si>
  <si>
    <t>Besorolási kategóriák (Javasolt OAM szint)</t>
  </si>
  <si>
    <t xml:space="preserve">Operatív engedély /Üzemeltető arány (%) </t>
  </si>
  <si>
    <t>Minél kisebb a regisztrált üzemeltetők és A1/A3 tanusítványok aránya, ANNÁL RESTRIKTÍVEBB A SZABÁLYOZÁS AZ ADOTT ORSZÁGBAN</t>
  </si>
  <si>
    <t>Minél nagyobb  regisztrált üzemeltetők és az A2 tanusítvány ok aránya , ANNÁL RESTRIKTÍVEBB A SZABÁLYOZÁS AZ ADOTT ORSZÁGBAN</t>
  </si>
  <si>
    <t xml:space="preserve">(naiv) </t>
  </si>
  <si>
    <t>Y0</t>
  </si>
  <si>
    <t>Becslés</t>
  </si>
  <si>
    <t>Azonosító:</t>
  </si>
  <si>
    <t>Objektumok:</t>
  </si>
  <si>
    <t>Attribútumok:</t>
  </si>
  <si>
    <t>Lépcsôk:</t>
  </si>
  <si>
    <t>Eltolás:</t>
  </si>
  <si>
    <t>Leírás:</t>
  </si>
  <si>
    <t>COCO Y0: 9085433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</si>
  <si>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</si>
  <si>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</si>
  <si>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</si>
  <si>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</si>
  <si>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</si>
  <si>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</si>
  <si>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</si>
  <si>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</si>
  <si>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Y(A8)</t>
  </si>
  <si>
    <t>O1</t>
  </si>
  <si>
    <t>O2</t>
  </si>
  <si>
    <t>O3</t>
  </si>
  <si>
    <t>O4</t>
  </si>
  <si>
    <t>O5</t>
  </si>
  <si>
    <t>O6</t>
  </si>
  <si>
    <t>Lépcsôk(1)</t>
  </si>
  <si>
    <t>S1</t>
  </si>
  <si>
    <t>(0+488)/(1)=488</t>
  </si>
  <si>
    <t>(0+489)/(1)=489</t>
  </si>
  <si>
    <t>(0+502)/(1)=502</t>
  </si>
  <si>
    <t>(0+5)/(1)=5</t>
  </si>
  <si>
    <t>(0+978)/(1)=978</t>
  </si>
  <si>
    <t>(0+12)/(1)=12</t>
  </si>
  <si>
    <t>S2</t>
  </si>
  <si>
    <t>(0+487)/(1)=487</t>
  </si>
  <si>
    <t>(0+501)/(1)=501</t>
  </si>
  <si>
    <t>(0+4)/(1)=4</t>
  </si>
  <si>
    <t>(0+977)/(1)=977</t>
  </si>
  <si>
    <t>(0+11)/(1)=11</t>
  </si>
  <si>
    <t>S3</t>
  </si>
  <si>
    <t>(0+486)/(1)=486</t>
  </si>
  <si>
    <t>(0+3)/(1)=3</t>
  </si>
  <si>
    <t>(0+500)/(1)=500</t>
  </si>
  <si>
    <t>(0+10)/(1)=10</t>
  </si>
  <si>
    <t>S4</t>
  </si>
  <si>
    <t>(0+2)/(1)=2</t>
  </si>
  <si>
    <t>S5</t>
  </si>
  <si>
    <t>(0+1)/(1)=1</t>
  </si>
  <si>
    <t>S6</t>
  </si>
  <si>
    <t>(0+0)/(1)=0</t>
  </si>
  <si>
    <t>Lépcsôk(2)</t>
  </si>
  <si>
    <t>COCO:Y0</t>
  </si>
  <si>
    <t>Tény+0</t>
  </si>
  <si>
    <t>Delta</t>
  </si>
  <si>
    <t>Delta/Tény</t>
  </si>
  <si>
    <t>S1 összeg:</t>
  </si>
  <si>
    <t>S6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</si>
  <si>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</si>
  <si>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</si>
  <si>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</si>
  <si>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</si>
  <si>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</si>
  <si>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</si>
  <si>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</si>
  <si>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1.35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</si>
  <si>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0.07 mp (0 p)</t>
    </r>
  </si>
  <si>
    <t>fel nem használt</t>
  </si>
  <si>
    <t>COCO Y0: 2469804</t>
  </si>
  <si>
    <t>Y(A3)</t>
  </si>
  <si>
    <t>(995+1005)/(2)=1000</t>
  </si>
  <si>
    <t>(5+5)/(2)=5</t>
  </si>
  <si>
    <t>(994+1004)/(2)=999</t>
  </si>
  <si>
    <t>(4+4)/(2)=4</t>
  </si>
  <si>
    <t>(993+1003)/(2)=998</t>
  </si>
  <si>
    <t>(3+3)/(2)=3</t>
  </si>
  <si>
    <t>(992+1002)/(2)=997</t>
  </si>
  <si>
    <t>(2+2)/(2)=2</t>
  </si>
  <si>
    <t>(991+1001)/(2)=996</t>
  </si>
  <si>
    <t>(1+1)/(2)=1</t>
  </si>
  <si>
    <t>(990+1000)/(2)=995</t>
  </si>
  <si>
    <t>(0+0)/(2)=0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</si>
  <si>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1.34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</si>
  <si>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0.04 mp (0 p)</t>
    </r>
  </si>
  <si>
    <t>erősen restriktív</t>
  </si>
  <si>
    <t>norma-szerű</t>
  </si>
  <si>
    <t>kevéssé restriktív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</si>
</sst>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.5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ABE7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7">
    <xf numFmtId="0" fontId="0" fillId="0" borderId="0" xfId="0"/>
    <xf numFmtId="0" fontId="1" fillId="3" borderId="3" xfId="0" applyFont="1" applyFill="1" applyBorder="1"/>
    <xf numFmtId="0" fontId="1" fillId="3" borderId="2" xfId="0" applyFont="1" applyFill="1" applyBorder="1"/>
    <xf numFmtId="0" fontId="1" fillId="3" borderId="5" xfId="0" applyFont="1" applyFill="1" applyBorder="1"/>
    <xf numFmtId="0" fontId="0" fillId="0" borderId="0" xfId="0" applyAlignment="1">
      <alignment horizontal="center"/>
    </xf>
    <xf numFmtId="0" fontId="1" fillId="3" borderId="21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0" fillId="5" borderId="9" xfId="0" applyFill="1" applyBorder="1"/>
    <xf numFmtId="0" fontId="1" fillId="3" borderId="1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0" fillId="4" borderId="6" xfId="0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0" fillId="3" borderId="16" xfId="0" applyFill="1" applyBorder="1"/>
    <xf numFmtId="0" fontId="0" fillId="3" borderId="26" xfId="0" applyFill="1" applyBorder="1"/>
    <xf numFmtId="0" fontId="0" fillId="3" borderId="29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31" xfId="0" applyFill="1" applyBorder="1"/>
    <xf numFmtId="0" fontId="0" fillId="3" borderId="32" xfId="0" applyFill="1" applyBorder="1" applyAlignment="1">
      <alignment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1" fillId="3" borderId="36" xfId="0" applyFont="1" applyFill="1" applyBorder="1"/>
    <xf numFmtId="0" fontId="1" fillId="3" borderId="30" xfId="0" applyFont="1" applyFill="1" applyBorder="1"/>
    <xf numFmtId="0" fontId="1" fillId="3" borderId="33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left"/>
    </xf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0" fillId="3" borderId="38" xfId="0" applyFill="1" applyBorder="1" applyAlignment="1">
      <alignment horizontal="center"/>
    </xf>
    <xf numFmtId="2" fontId="0" fillId="3" borderId="28" xfId="0" applyNumberForma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left" wrapText="1"/>
    </xf>
    <xf numFmtId="0" fontId="0" fillId="3" borderId="35" xfId="0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2" xfId="0" applyFill="1" applyBorder="1" applyAlignment="1">
      <alignment horizontal="left" wrapText="1"/>
    </xf>
    <xf numFmtId="0" fontId="0" fillId="3" borderId="22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/>
    </xf>
    <xf numFmtId="0" fontId="0" fillId="3" borderId="39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left" vertical="center" wrapText="1"/>
    </xf>
    <xf numFmtId="1" fontId="0" fillId="3" borderId="33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1" fillId="3" borderId="16" xfId="0" applyFont="1" applyFill="1" applyBorder="1" applyAlignment="1">
      <alignment horizontal="left"/>
    </xf>
    <xf numFmtId="0" fontId="3" fillId="2" borderId="27" xfId="0" applyFont="1" applyFill="1" applyBorder="1"/>
    <xf numFmtId="0" fontId="3" fillId="2" borderId="28" xfId="0" applyFont="1" applyFill="1" applyBorder="1"/>
    <xf numFmtId="0" fontId="3" fillId="2" borderId="29" xfId="0" applyFont="1" applyFill="1" applyBorder="1"/>
    <xf numFmtId="0" fontId="1" fillId="3" borderId="21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0" fillId="3" borderId="22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left"/>
    </xf>
    <xf numFmtId="0" fontId="1" fillId="3" borderId="31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2" fontId="1" fillId="3" borderId="26" xfId="0" applyNumberFormat="1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2" fontId="1" fillId="3" borderId="28" xfId="0" applyNumberFormat="1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0" fillId="6" borderId="6" xfId="0" applyFill="1" applyBorder="1"/>
    <xf numFmtId="0" fontId="1" fillId="6" borderId="5" xfId="0" applyFont="1" applyFill="1" applyBorder="1" applyAlignment="1">
      <alignment wrapText="1"/>
    </xf>
    <xf numFmtId="0" fontId="1" fillId="6" borderId="13" xfId="0" applyFont="1" applyFill="1" applyBorder="1" applyAlignment="1">
      <alignment wrapText="1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0" fillId="6" borderId="14" xfId="0" applyFill="1" applyBorder="1"/>
    <xf numFmtId="0" fontId="3" fillId="2" borderId="2" xfId="0" applyFont="1" applyFill="1" applyBorder="1" applyAlignment="1">
      <alignment horizontal="left"/>
    </xf>
    <xf numFmtId="0" fontId="1" fillId="2" borderId="27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3" borderId="36" xfId="0" applyFont="1" applyFill="1" applyBorder="1" applyAlignment="1">
      <alignment horizontal="left"/>
    </xf>
    <xf numFmtId="0" fontId="0" fillId="3" borderId="37" xfId="0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1" fillId="6" borderId="37" xfId="0" applyFont="1" applyFill="1" applyBorder="1"/>
    <xf numFmtId="0" fontId="0" fillId="8" borderId="16" xfId="0" applyFill="1" applyBorder="1"/>
    <xf numFmtId="0" fontId="0" fillId="8" borderId="22" xfId="0" applyFill="1" applyBorder="1"/>
    <xf numFmtId="0" fontId="0" fillId="8" borderId="31" xfId="0" applyFill="1" applyBorder="1"/>
    <xf numFmtId="0" fontId="0" fillId="8" borderId="32" xfId="0" applyFill="1" applyBorder="1"/>
    <xf numFmtId="0" fontId="0" fillId="8" borderId="26" xfId="0" applyFill="1" applyBorder="1"/>
    <xf numFmtId="0" fontId="0" fillId="8" borderId="37" xfId="0" applyFill="1" applyBorder="1"/>
    <xf numFmtId="0" fontId="0" fillId="8" borderId="40" xfId="0" applyFill="1" applyBorder="1"/>
    <xf numFmtId="0" fontId="0" fillId="8" borderId="35" xfId="0" applyFill="1" applyBorder="1"/>
    <xf numFmtId="0" fontId="0" fillId="8" borderId="35" xfId="0" applyFill="1" applyBorder="1" applyAlignment="1">
      <alignment vertical="center" wrapText="1"/>
    </xf>
    <xf numFmtId="0" fontId="0" fillId="8" borderId="39" xfId="0" applyFill="1" applyBorder="1"/>
    <xf numFmtId="0" fontId="0" fillId="8" borderId="33" xfId="0" applyFill="1" applyBorder="1"/>
    <xf numFmtId="0" fontId="0" fillId="8" borderId="20" xfId="0" applyFill="1" applyBorder="1"/>
    <xf numFmtId="0" fontId="0" fillId="8" borderId="34" xfId="0" applyFill="1" applyBorder="1"/>
    <xf numFmtId="0" fontId="1" fillId="10" borderId="5" xfId="0" applyFont="1" applyFill="1" applyBorder="1"/>
    <xf numFmtId="0" fontId="2" fillId="10" borderId="6" xfId="0" applyFont="1" applyFill="1" applyBorder="1"/>
    <xf numFmtId="0" fontId="2" fillId="10" borderId="7" xfId="0" applyFont="1" applyFill="1" applyBorder="1"/>
    <xf numFmtId="0" fontId="0" fillId="9" borderId="22" xfId="0" applyFill="1" applyBorder="1" applyAlignment="1">
      <alignment wrapText="1"/>
    </xf>
    <xf numFmtId="0" fontId="0" fillId="9" borderId="22" xfId="0" applyFill="1" applyBorder="1"/>
    <xf numFmtId="0" fontId="0" fillId="9" borderId="43" xfId="0" applyFill="1" applyBorder="1" applyAlignment="1">
      <alignment wrapText="1"/>
    </xf>
    <xf numFmtId="0" fontId="0" fillId="6" borderId="32" xfId="0" applyFill="1" applyBorder="1" applyAlignment="1">
      <alignment wrapText="1"/>
    </xf>
    <xf numFmtId="0" fontId="1" fillId="3" borderId="21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6" borderId="30" xfId="0" applyFont="1" applyFill="1" applyBorder="1" applyAlignment="1">
      <alignment vertical="center"/>
    </xf>
    <xf numFmtId="0" fontId="1" fillId="9" borderId="16" xfId="0" applyFont="1" applyFill="1" applyBorder="1" applyAlignment="1">
      <alignment horizontal="center" vertical="center"/>
    </xf>
    <xf numFmtId="2" fontId="1" fillId="9" borderId="16" xfId="0" applyNumberFormat="1" applyFont="1" applyFill="1" applyBorder="1" applyAlignment="1">
      <alignment horizontal="center" vertical="center"/>
    </xf>
    <xf numFmtId="2" fontId="1" fillId="9" borderId="42" xfId="0" applyNumberFormat="1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0" fillId="3" borderId="44" xfId="0" applyFill="1" applyBorder="1" applyAlignment="1">
      <alignment vertical="center" wrapText="1"/>
    </xf>
    <xf numFmtId="0" fontId="1" fillId="3" borderId="33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46" xfId="0" applyFill="1" applyBorder="1"/>
    <xf numFmtId="0" fontId="5" fillId="3" borderId="44" xfId="0" applyFont="1" applyFill="1" applyBorder="1" applyAlignment="1">
      <alignment horizontal="left" vertical="center"/>
    </xf>
    <xf numFmtId="0" fontId="6" fillId="3" borderId="44" xfId="1" applyFill="1" applyBorder="1" applyAlignment="1">
      <alignment horizontal="left"/>
    </xf>
    <xf numFmtId="0" fontId="0" fillId="3" borderId="44" xfId="0" applyFill="1" applyBorder="1" applyAlignment="1">
      <alignment horizontal="left"/>
    </xf>
    <xf numFmtId="0" fontId="6" fillId="3" borderId="44" xfId="1" applyFill="1" applyBorder="1" applyAlignment="1">
      <alignment horizontal="left" vertical="center"/>
    </xf>
    <xf numFmtId="0" fontId="7" fillId="3" borderId="44" xfId="0" applyFont="1" applyFill="1" applyBorder="1" applyAlignment="1">
      <alignment horizontal="left" vertical="center"/>
    </xf>
    <xf numFmtId="0" fontId="8" fillId="3" borderId="44" xfId="0" applyFont="1" applyFill="1" applyBorder="1" applyAlignment="1">
      <alignment horizontal="left" vertical="center"/>
    </xf>
    <xf numFmtId="0" fontId="6" fillId="3" borderId="47" xfId="1" applyFill="1" applyBorder="1" applyAlignment="1">
      <alignment horizontal="left"/>
    </xf>
    <xf numFmtId="2" fontId="0" fillId="0" borderId="8" xfId="0" applyNumberFormat="1" applyBorder="1"/>
    <xf numFmtId="0" fontId="0" fillId="11" borderId="0" xfId="0" applyFill="1"/>
    <xf numFmtId="0" fontId="0" fillId="11" borderId="0" xfId="0" applyFill="1" applyAlignment="1">
      <alignment wrapText="1"/>
    </xf>
    <xf numFmtId="2" fontId="0" fillId="3" borderId="16" xfId="0" applyNumberFormat="1" applyFill="1" applyBorder="1"/>
    <xf numFmtId="2" fontId="0" fillId="8" borderId="26" xfId="0" applyNumberFormat="1" applyFill="1" applyBorder="1"/>
    <xf numFmtId="2" fontId="0" fillId="8" borderId="16" xfId="0" applyNumberFormat="1" applyFill="1" applyBorder="1"/>
    <xf numFmtId="2" fontId="0" fillId="8" borderId="31" xfId="0" applyNumberFormat="1" applyFill="1" applyBorder="1"/>
    <xf numFmtId="2" fontId="0" fillId="8" borderId="40" xfId="0" applyNumberFormat="1" applyFill="1" applyBorder="1"/>
    <xf numFmtId="2" fontId="0" fillId="8" borderId="37" xfId="0" applyNumberFormat="1" applyFill="1" applyBorder="1"/>
    <xf numFmtId="2" fontId="0" fillId="8" borderId="35" xfId="0" applyNumberFormat="1" applyFill="1" applyBorder="1"/>
    <xf numFmtId="2" fontId="0" fillId="8" borderId="22" xfId="0" applyNumberFormat="1" applyFill="1" applyBorder="1"/>
    <xf numFmtId="2" fontId="0" fillId="8" borderId="39" xfId="0" applyNumberFormat="1" applyFill="1" applyBorder="1"/>
    <xf numFmtId="2" fontId="0" fillId="8" borderId="32" xfId="0" applyNumberFormat="1" applyFill="1" applyBorder="1"/>
    <xf numFmtId="0" fontId="0" fillId="0" borderId="11" xfId="0" applyBorder="1"/>
    <xf numFmtId="0" fontId="0" fillId="0" borderId="13" xfId="0" applyBorder="1"/>
    <xf numFmtId="164" fontId="0" fillId="3" borderId="16" xfId="0" applyNumberFormat="1" applyFill="1" applyBorder="1"/>
    <xf numFmtId="1" fontId="0" fillId="3" borderId="16" xfId="0" applyNumberFormat="1" applyFill="1" applyBorder="1"/>
    <xf numFmtId="0" fontId="0" fillId="0" borderId="16" xfId="0" applyBorder="1"/>
    <xf numFmtId="1" fontId="0" fillId="0" borderId="21" xfId="0" applyNumberFormat="1" applyBorder="1" applyAlignment="1">
      <alignment horizont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0" xfId="0" applyAlignment="1">
      <alignment horizontal="center" vertical="center"/>
    </xf>
    <xf numFmtId="0" fontId="11" fillId="0" borderId="0" xfId="0" applyFont="1"/>
    <xf numFmtId="0" fontId="11" fillId="0" borderId="14" xfId="0" applyFont="1" applyBorder="1"/>
    <xf numFmtId="0" fontId="0" fillId="0" borderId="1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0" xfId="0" applyNumberFormat="1"/>
    <xf numFmtId="2" fontId="0" fillId="0" borderId="5" xfId="0" applyNumberFormat="1" applyBorder="1"/>
    <xf numFmtId="2" fontId="0" fillId="0" borderId="1" xfId="0" applyNumberFormat="1" applyBorder="1"/>
    <xf numFmtId="0" fontId="13" fillId="12" borderId="16" xfId="0" applyFont="1" applyFill="1" applyBorder="1" applyAlignment="1">
      <alignment horizontal="left" wrapText="1"/>
    </xf>
    <xf numFmtId="0" fontId="14" fillId="12" borderId="16" xfId="0" applyFont="1" applyFill="1" applyBorder="1" applyAlignment="1">
      <alignment horizontal="left" wrapText="1"/>
    </xf>
    <xf numFmtId="0" fontId="14" fillId="12" borderId="16" xfId="0" applyFont="1" applyFill="1" applyBorder="1" applyAlignment="1">
      <alignment horizontal="right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8" fillId="13" borderId="48" xfId="0" applyFont="1" applyFill="1" applyBorder="1" applyAlignment="1">
      <alignment horizontal="center" vertical="center" wrapText="1"/>
    </xf>
    <xf numFmtId="0" fontId="19" fillId="14" borderId="49" xfId="0" applyFont="1" applyFill="1" applyBorder="1" applyAlignment="1">
      <alignment horizontal="center" vertical="center" wrapText="1"/>
    </xf>
    <xf numFmtId="0" fontId="18" fillId="13" borderId="48" xfId="0" applyFont="1" applyFill="1" applyBorder="1" applyAlignment="1">
      <alignment horizontal="left" vertical="center" wrapText="1"/>
    </xf>
    <xf numFmtId="0" fontId="20" fillId="14" borderId="49" xfId="0" applyFont="1" applyFill="1" applyBorder="1" applyAlignment="1">
      <alignment horizontal="center" vertical="center" wrapText="1"/>
    </xf>
    <xf numFmtId="0" fontId="6" fillId="0" borderId="0" xfId="1"/>
    <xf numFmtId="0" fontId="21" fillId="0" borderId="0" xfId="0" applyFont="1"/>
    <xf numFmtId="0" fontId="0" fillId="15" borderId="0" xfId="0" applyFill="1"/>
    <xf numFmtId="0" fontId="17" fillId="15" borderId="0" xfId="0" applyFont="1" applyFill="1" applyAlignment="1">
      <alignment horizontal="right" vertical="center" wrapText="1"/>
    </xf>
    <xf numFmtId="0" fontId="18" fillId="15" borderId="48" xfId="0" applyFont="1" applyFill="1" applyBorder="1" applyAlignment="1">
      <alignment horizontal="center" vertical="center" wrapText="1"/>
    </xf>
    <xf numFmtId="0" fontId="19" fillId="15" borderId="49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wrapText="1"/>
    </xf>
    <xf numFmtId="0" fontId="0" fillId="3" borderId="44" xfId="0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5ABE7B"/>
      <color rgb="FFFFEB84"/>
      <color rgb="FFF8696B"/>
      <color rgb="FFECFA6C"/>
      <color rgb="FFFF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279513</xdr:colOff>
      <xdr:row>31</xdr:row>
      <xdr:rowOff>27213</xdr:rowOff>
    </xdr:from>
    <xdr:to>
      <xdr:col>12</xdr:col>
      <xdr:colOff>1633423</xdr:colOff>
      <xdr:row>68</xdr:row>
      <xdr:rowOff>136072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8501745" y="7148284"/>
          <a:ext cx="7885339" cy="7241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u-HU" sz="2000" b="1"/>
        </a:p>
        <a:p>
          <a:r>
            <a:rPr lang="hu-HU" sz="2000" b="1"/>
            <a:t>Táblázat Összegzése:</a:t>
          </a:r>
        </a:p>
        <a:p>
          <a:endParaRPr lang="hu-HU" sz="1100"/>
        </a:p>
        <a:p>
          <a:r>
            <a:rPr lang="hu-HU" sz="1100" b="1"/>
            <a:t>Magyarország</a:t>
          </a:r>
          <a:r>
            <a:rPr lang="hu-HU" sz="1100" baseline="0"/>
            <a:t> I</a:t>
          </a:r>
          <a:r>
            <a:rPr lang="hu-HU" sz="1100"/>
            <a:t>dealitáspontszáma: </a:t>
          </a:r>
          <a:r>
            <a:rPr lang="hu-HU" sz="1100" b="1"/>
            <a:t>30 „Nyitott kedvező környezet” besorolás, ami egy közepesen korlátozást </a:t>
          </a:r>
          <a:r>
            <a:rPr lang="hu-HU" sz="1100"/>
            <a:t>mutat.</a:t>
          </a:r>
        </a:p>
        <a:p>
          <a:endParaRPr lang="hu-HU" sz="1100"/>
        </a:p>
        <a:p>
          <a:r>
            <a:rPr lang="hu-HU" sz="1100"/>
            <a:t>Ez az érték azt mutatja, hogy Magyarország drónszabályozása se nem extrém szigorú, se nem kifejezetten megengedő.</a:t>
          </a:r>
        </a:p>
        <a:p>
          <a:endParaRPr lang="hu-HU" sz="1100"/>
        </a:p>
        <a:p>
          <a:r>
            <a:rPr lang="hu-HU" sz="1100"/>
            <a:t>Az összehasonlított 6 ország közül Magyarország a középmezőnyben helyezkedik el.</a:t>
          </a:r>
        </a:p>
        <a:p>
          <a:endParaRPr lang="hu-HU" sz="1100"/>
        </a:p>
        <a:p>
          <a:r>
            <a:rPr lang="hu-HU" sz="1100"/>
            <a:t>Enyhébb szabályozású országok: </a:t>
          </a:r>
          <a:r>
            <a:rPr lang="hu-HU" sz="1100" b="1"/>
            <a:t>Ausztria (58), Románia (51), Szlovénia (42)</a:t>
          </a:r>
        </a:p>
        <a:p>
          <a:r>
            <a:rPr lang="hu-HU" sz="1100"/>
            <a:t>Hasonló szigorúságú országok: </a:t>
          </a:r>
          <a:r>
            <a:rPr lang="hu-HU" sz="1100" b="1"/>
            <a:t>Németország (38), Szlovákia (33)</a:t>
          </a:r>
        </a:p>
        <a:p>
          <a:endParaRPr lang="hu-HU" sz="1100"/>
        </a:p>
        <a:p>
          <a:r>
            <a:rPr lang="hu-HU" sz="1100"/>
            <a:t>Magyarország főbb mutatói:</a:t>
          </a:r>
        </a:p>
        <a:p>
          <a:endParaRPr lang="hu-HU" sz="1100"/>
        </a:p>
        <a:p>
          <a:r>
            <a:rPr lang="hu-HU" sz="1100"/>
            <a:t>Szabad légtér aránya: </a:t>
          </a:r>
          <a:r>
            <a:rPr lang="hu-HU" sz="1100" b="1"/>
            <a:t>27%,</a:t>
          </a:r>
          <a:r>
            <a:rPr lang="hu-HU" sz="1100"/>
            <a:t> ami az egyik legalacsonyabb ,</a:t>
          </a:r>
          <a:r>
            <a:rPr lang="hu-HU" sz="1100" baseline="0"/>
            <a:t> vagyis</a:t>
          </a:r>
          <a:r>
            <a:rPr lang="hu-HU" sz="1100"/>
            <a:t> korlátozottak a reptetési lehetőségek.</a:t>
          </a:r>
        </a:p>
        <a:p>
          <a:r>
            <a:rPr lang="hu-HU" sz="1100"/>
            <a:t>A1/A3 tanúsítvány arány: </a:t>
          </a:r>
          <a:r>
            <a:rPr lang="hu-HU" sz="1100" b="1"/>
            <a:t>56%, </a:t>
          </a:r>
          <a:r>
            <a:rPr lang="hu-HU" sz="1100"/>
            <a:t>ez viszonylag magas, sokan rendelkeznek alap jogosultságokkal.</a:t>
          </a:r>
        </a:p>
        <a:p>
          <a:r>
            <a:rPr lang="hu-HU" sz="1100"/>
            <a:t>A2 tanúsítvány arány: </a:t>
          </a:r>
          <a:r>
            <a:rPr lang="hu-HU" sz="1100" b="1"/>
            <a:t>26% </a:t>
          </a:r>
          <a:r>
            <a:rPr lang="hu-HU" sz="1100"/>
            <a:t>→ közepes szigorúság, mert az A2-hez többletképzés kell.</a:t>
          </a:r>
        </a:p>
        <a:p>
          <a:r>
            <a:rPr lang="hu-HU" sz="1100"/>
            <a:t>Pilótánként elérhető szabad légtér</a:t>
          </a:r>
          <a:r>
            <a:rPr lang="hu-HU" sz="1100" b="1"/>
            <a:t>: 9,72 km²/pilóta</a:t>
          </a:r>
          <a:r>
            <a:rPr lang="hu-HU" sz="1100" b="1" baseline="0"/>
            <a:t> </a:t>
          </a:r>
          <a:r>
            <a:rPr lang="hu-HU" sz="1100"/>
            <a:t>szűkös, például Szlovákiában ez </a:t>
          </a:r>
          <a:r>
            <a:rPr lang="hu-HU" sz="1100" b="1"/>
            <a:t>242 km²/pilóta .</a:t>
          </a:r>
        </a:p>
        <a:p>
          <a:r>
            <a:rPr lang="hu-HU" sz="1100"/>
            <a:t>Tanúsítvány/üzemeltető arány</a:t>
          </a:r>
          <a:r>
            <a:rPr lang="hu-HU" sz="1100" b="1"/>
            <a:t>: 0,815, </a:t>
          </a:r>
          <a:r>
            <a:rPr lang="hu-HU" sz="1100"/>
            <a:t>ami nem túl rossz, de nem is ideális.</a:t>
          </a:r>
        </a:p>
        <a:p>
          <a:endParaRPr lang="hu-HU" sz="1100"/>
        </a:p>
        <a:p>
          <a:r>
            <a:rPr lang="hu-HU" sz="1100"/>
            <a:t>Mit jelent ez az értékelés?</a:t>
          </a:r>
        </a:p>
        <a:p>
          <a:r>
            <a:rPr lang="hu-HU" sz="1100"/>
            <a:t>Magyarország </a:t>
          </a:r>
          <a:r>
            <a:rPr lang="hu-HU" sz="1100" b="1"/>
            <a:t>nem túlzottan szigorú</a:t>
          </a:r>
          <a:r>
            <a:rPr lang="hu-HU" sz="1100"/>
            <a:t>, de:</a:t>
          </a:r>
        </a:p>
        <a:p>
          <a:r>
            <a:rPr lang="hu-HU" sz="1100"/>
            <a:t>kevés a szabad légtér,</a:t>
          </a:r>
        </a:p>
        <a:p>
          <a:r>
            <a:rPr lang="hu-HU" sz="1100"/>
            <a:t>sokan használják ugyanazt a légteret,</a:t>
          </a:r>
        </a:p>
        <a:p>
          <a:r>
            <a:rPr lang="hu-HU" sz="1100"/>
            <a:t>relatíve sok korlátozás van (</a:t>
          </a:r>
          <a:r>
            <a:rPr lang="hu-HU" sz="1100" b="1"/>
            <a:t>természetvédelmi, katonai stb</a:t>
          </a:r>
          <a:r>
            <a:rPr lang="hu-HU" sz="1100"/>
            <a:t>.).</a:t>
          </a:r>
        </a:p>
        <a:p>
          <a:endParaRPr lang="hu-HU" sz="1100"/>
        </a:p>
        <a:p>
          <a:r>
            <a:rPr lang="hu-HU" sz="1100"/>
            <a:t>Ez gyakorlatban azt jelenti, hogy ha valaki drónozni akar, sok a korlátozás, főleg településközelben, és kevéssé áll rendelkezésre szabad terület, különösen a kezdők számára.</a:t>
          </a:r>
        </a:p>
        <a:p>
          <a:endParaRPr lang="hu-HU" sz="1100"/>
        </a:p>
        <a:p>
          <a:r>
            <a:rPr lang="hu-HU" sz="1100"/>
            <a:t>A</a:t>
          </a:r>
          <a:r>
            <a:rPr lang="hu-HU" sz="1100" baseline="0"/>
            <a:t> felvetett</a:t>
          </a:r>
          <a:r>
            <a:rPr lang="hu-HU" sz="1100"/>
            <a:t> kérdésre</a:t>
          </a:r>
          <a:r>
            <a:rPr lang="hu-HU" sz="1100" baseline="0"/>
            <a:t> a válasz</a:t>
          </a:r>
          <a:r>
            <a:rPr lang="hu-HU" sz="1100"/>
            <a:t>:</a:t>
          </a:r>
        </a:p>
        <a:p>
          <a:r>
            <a:rPr lang="hu-HU" sz="1100" b="1"/>
            <a:t>Túl korlátozott-e a magyar dróntörvény?</a:t>
          </a:r>
        </a:p>
        <a:p>
          <a:endParaRPr lang="hu-HU" sz="1100"/>
        </a:p>
        <a:p>
          <a:r>
            <a:rPr lang="hu-HU" sz="1100"/>
            <a:t>Részben igen – ha a pilótánként elérhető szabad légtér vagy a szabad zónák arányát nézzük, akkor ezek valóban szűkösek, és a szabályozás emiatt gyakorlatilag elég korlátozó tud lenni.</a:t>
          </a:r>
        </a:p>
        <a:p>
          <a:r>
            <a:rPr lang="hu-HU" sz="1100"/>
            <a:t> Nem</a:t>
          </a:r>
          <a:r>
            <a:rPr lang="hu-HU" sz="1100" baseline="0"/>
            <a:t> egy extrém korlátozás van</a:t>
          </a:r>
          <a:r>
            <a:rPr lang="hu-HU" sz="1100"/>
            <a:t> a </a:t>
          </a:r>
          <a:r>
            <a:rPr lang="hu-HU" sz="1100" b="1"/>
            <a:t>tanúsítványokra és engedélyekre vonatkozó mutatók alapján nem tartozik a legszigorúbb országok közé, így a szabályozás középutasnak tekinthető.</a:t>
          </a:r>
        </a:p>
        <a:p>
          <a:endParaRPr lang="hu-H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279513</xdr:colOff>
      <xdr:row>31</xdr:row>
      <xdr:rowOff>27213</xdr:rowOff>
    </xdr:from>
    <xdr:to>
      <xdr:col>12</xdr:col>
      <xdr:colOff>1633423</xdr:colOff>
      <xdr:row>68</xdr:row>
      <xdr:rowOff>136072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2C35D69F-B212-41AE-BA85-B0885E17C7C9}"/>
            </a:ext>
          </a:extLst>
        </xdr:cNvPr>
        <xdr:cNvSpPr txBox="1"/>
      </xdr:nvSpPr>
      <xdr:spPr>
        <a:xfrm>
          <a:off x="19596213" y="6839493"/>
          <a:ext cx="8562430" cy="68754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u-HU" sz="2000" b="1"/>
        </a:p>
        <a:p>
          <a:r>
            <a:rPr lang="hu-HU" sz="2000" b="1"/>
            <a:t>Táblázat Összegzése:</a:t>
          </a:r>
        </a:p>
        <a:p>
          <a:endParaRPr lang="hu-HU" sz="1100"/>
        </a:p>
        <a:p>
          <a:r>
            <a:rPr lang="hu-HU" sz="1100" b="1"/>
            <a:t>Magyarország</a:t>
          </a:r>
          <a:r>
            <a:rPr lang="hu-HU" sz="1100" baseline="0"/>
            <a:t> I</a:t>
          </a:r>
          <a:r>
            <a:rPr lang="hu-HU" sz="1100"/>
            <a:t>dealitáspontszáma: </a:t>
          </a:r>
          <a:r>
            <a:rPr lang="hu-HU" sz="1100" b="1"/>
            <a:t>30 „Nyitott kedvező környezet” besorolás, ami egy közepesen korlátozást </a:t>
          </a:r>
          <a:r>
            <a:rPr lang="hu-HU" sz="1100"/>
            <a:t>mutat.</a:t>
          </a:r>
        </a:p>
        <a:p>
          <a:endParaRPr lang="hu-HU" sz="1100"/>
        </a:p>
        <a:p>
          <a:r>
            <a:rPr lang="hu-HU" sz="1100"/>
            <a:t>Ez az érték azt mutatja, hogy Magyarország drónszabályozása se nem extrém szigorú, se nem kifejezetten megengedő.</a:t>
          </a:r>
        </a:p>
        <a:p>
          <a:endParaRPr lang="hu-HU" sz="1100"/>
        </a:p>
        <a:p>
          <a:r>
            <a:rPr lang="hu-HU" sz="1100"/>
            <a:t>Az összehasonlított 6 ország közül Magyarország a középmezőnyben helyezkedik el.</a:t>
          </a:r>
        </a:p>
        <a:p>
          <a:endParaRPr lang="hu-HU" sz="1100"/>
        </a:p>
        <a:p>
          <a:r>
            <a:rPr lang="hu-HU" sz="1100"/>
            <a:t>Enyhébb szabályozású országok: </a:t>
          </a:r>
          <a:r>
            <a:rPr lang="hu-HU" sz="1100" b="1"/>
            <a:t>Ausztria (58), Románia (51), Szlovénia (42)</a:t>
          </a:r>
        </a:p>
        <a:p>
          <a:r>
            <a:rPr lang="hu-HU" sz="1100"/>
            <a:t>Hasonló szigorúságú országok: </a:t>
          </a:r>
          <a:r>
            <a:rPr lang="hu-HU" sz="1100" b="1"/>
            <a:t>Németország (38), Szlovákia (33)</a:t>
          </a:r>
        </a:p>
        <a:p>
          <a:endParaRPr lang="hu-HU" sz="1100"/>
        </a:p>
        <a:p>
          <a:r>
            <a:rPr lang="hu-HU" sz="1100"/>
            <a:t>Magyarország főbb mutatói:</a:t>
          </a:r>
        </a:p>
        <a:p>
          <a:endParaRPr lang="hu-HU" sz="1100"/>
        </a:p>
        <a:p>
          <a:r>
            <a:rPr lang="hu-HU" sz="1100"/>
            <a:t>Szabad légtér aránya: </a:t>
          </a:r>
          <a:r>
            <a:rPr lang="hu-HU" sz="1100" b="1"/>
            <a:t>27%,</a:t>
          </a:r>
          <a:r>
            <a:rPr lang="hu-HU" sz="1100"/>
            <a:t> ami az egyik legalacsonyabb ,</a:t>
          </a:r>
          <a:r>
            <a:rPr lang="hu-HU" sz="1100" baseline="0"/>
            <a:t> vagyis</a:t>
          </a:r>
          <a:r>
            <a:rPr lang="hu-HU" sz="1100"/>
            <a:t> korlátozottak a reptetési lehetőségek.</a:t>
          </a:r>
        </a:p>
        <a:p>
          <a:r>
            <a:rPr lang="hu-HU" sz="1100"/>
            <a:t>A1/A3 tanúsítvány arány: </a:t>
          </a:r>
          <a:r>
            <a:rPr lang="hu-HU" sz="1100" b="1"/>
            <a:t>56%, </a:t>
          </a:r>
          <a:r>
            <a:rPr lang="hu-HU" sz="1100"/>
            <a:t>ez viszonylag magas, sokan rendelkeznek alap jogosultságokkal.</a:t>
          </a:r>
        </a:p>
        <a:p>
          <a:r>
            <a:rPr lang="hu-HU" sz="1100"/>
            <a:t>A2 tanúsítvány arány: </a:t>
          </a:r>
          <a:r>
            <a:rPr lang="hu-HU" sz="1100" b="1"/>
            <a:t>26% </a:t>
          </a:r>
          <a:r>
            <a:rPr lang="hu-HU" sz="1100"/>
            <a:t>→ közepes szigorúság, mert az A2-hez többletképzés kell.</a:t>
          </a:r>
        </a:p>
        <a:p>
          <a:r>
            <a:rPr lang="hu-HU" sz="1100"/>
            <a:t>Pilótánként elérhető szabad légtér</a:t>
          </a:r>
          <a:r>
            <a:rPr lang="hu-HU" sz="1100" b="1"/>
            <a:t>: 9,72 km²/pilóta</a:t>
          </a:r>
          <a:r>
            <a:rPr lang="hu-HU" sz="1100" b="1" baseline="0"/>
            <a:t> </a:t>
          </a:r>
          <a:r>
            <a:rPr lang="hu-HU" sz="1100"/>
            <a:t>szűkös, például Szlovákiában ez </a:t>
          </a:r>
          <a:r>
            <a:rPr lang="hu-HU" sz="1100" b="1"/>
            <a:t>242 km²/pilóta .</a:t>
          </a:r>
        </a:p>
        <a:p>
          <a:r>
            <a:rPr lang="hu-HU" sz="1100"/>
            <a:t>Tanúsítvány/üzemeltető arány</a:t>
          </a:r>
          <a:r>
            <a:rPr lang="hu-HU" sz="1100" b="1"/>
            <a:t>: 0,815, </a:t>
          </a:r>
          <a:r>
            <a:rPr lang="hu-HU" sz="1100"/>
            <a:t>ami nem túl rossz, de nem is ideális.</a:t>
          </a:r>
        </a:p>
        <a:p>
          <a:endParaRPr lang="hu-HU" sz="1100"/>
        </a:p>
        <a:p>
          <a:r>
            <a:rPr lang="hu-HU" sz="1100"/>
            <a:t>Mit jelent ez az értékelés?</a:t>
          </a:r>
        </a:p>
        <a:p>
          <a:r>
            <a:rPr lang="hu-HU" sz="1100"/>
            <a:t>Magyarország </a:t>
          </a:r>
          <a:r>
            <a:rPr lang="hu-HU" sz="1100" b="1"/>
            <a:t>nem túlzottan szigorú</a:t>
          </a:r>
          <a:r>
            <a:rPr lang="hu-HU" sz="1100"/>
            <a:t>, de:</a:t>
          </a:r>
        </a:p>
        <a:p>
          <a:r>
            <a:rPr lang="hu-HU" sz="1100"/>
            <a:t>kevés a szabad légtér,</a:t>
          </a:r>
        </a:p>
        <a:p>
          <a:r>
            <a:rPr lang="hu-HU" sz="1100"/>
            <a:t>sokan használják ugyanazt a légteret,</a:t>
          </a:r>
        </a:p>
        <a:p>
          <a:r>
            <a:rPr lang="hu-HU" sz="1100"/>
            <a:t>relatíve sok korlátozás van (</a:t>
          </a:r>
          <a:r>
            <a:rPr lang="hu-HU" sz="1100" b="1"/>
            <a:t>természetvédelmi, katonai stb</a:t>
          </a:r>
          <a:r>
            <a:rPr lang="hu-HU" sz="1100"/>
            <a:t>.).</a:t>
          </a:r>
        </a:p>
        <a:p>
          <a:endParaRPr lang="hu-HU" sz="1100"/>
        </a:p>
        <a:p>
          <a:r>
            <a:rPr lang="hu-HU" sz="1100"/>
            <a:t>Ez gyakorlatban azt jelenti, hogy ha valaki drónozni akar, sok a korlátozás, főleg településközelben, és kevéssé áll rendelkezésre szabad terület, különösen a kezdők számára.</a:t>
          </a:r>
        </a:p>
        <a:p>
          <a:endParaRPr lang="hu-HU" sz="1100"/>
        </a:p>
        <a:p>
          <a:r>
            <a:rPr lang="hu-HU" sz="1100"/>
            <a:t>A</a:t>
          </a:r>
          <a:r>
            <a:rPr lang="hu-HU" sz="1100" baseline="0"/>
            <a:t> felvetett</a:t>
          </a:r>
          <a:r>
            <a:rPr lang="hu-HU" sz="1100"/>
            <a:t> kérdésre</a:t>
          </a:r>
          <a:r>
            <a:rPr lang="hu-HU" sz="1100" baseline="0"/>
            <a:t> a válasz</a:t>
          </a:r>
          <a:r>
            <a:rPr lang="hu-HU" sz="1100"/>
            <a:t>:</a:t>
          </a:r>
        </a:p>
        <a:p>
          <a:r>
            <a:rPr lang="hu-HU" sz="1100" b="1"/>
            <a:t>Túl korlátozott-e a magyar dróntörvény?</a:t>
          </a:r>
        </a:p>
        <a:p>
          <a:endParaRPr lang="hu-HU" sz="1100"/>
        </a:p>
        <a:p>
          <a:r>
            <a:rPr lang="hu-HU" sz="1100"/>
            <a:t>Részben igen – ha a pilótánként elérhető szabad légtér vagy a szabad zónák arányát nézzük, akkor ezek valóban szűkösek, és a szabályozás emiatt gyakorlatilag elég korlátozó tud lenni.</a:t>
          </a:r>
        </a:p>
        <a:p>
          <a:r>
            <a:rPr lang="hu-HU" sz="1100"/>
            <a:t> Nem</a:t>
          </a:r>
          <a:r>
            <a:rPr lang="hu-HU" sz="1100" baseline="0"/>
            <a:t> egy extrém korlátozás van</a:t>
          </a:r>
          <a:r>
            <a:rPr lang="hu-HU" sz="1100"/>
            <a:t> a </a:t>
          </a:r>
          <a:r>
            <a:rPr lang="hu-HU" sz="1100" b="1"/>
            <a:t>tanúsítványokra és engedélyekre vonatkozó mutatók alapján nem tartozik a legszigorúbb országok közé, így a szabályozás középutasnak tekinthető.</a:t>
          </a:r>
        </a:p>
        <a:p>
          <a:endParaRPr lang="hu-H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CD242062-4B18-4BFC-0C9D-94C62191D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18</xdr:col>
      <xdr:colOff>76200</xdr:colOff>
      <xdr:row>3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6278AD1E-275A-2BA6-FBD9-09E14D88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21</xdr:row>
      <xdr:rowOff>114300</xdr:rowOff>
    </xdr:from>
    <xdr:to>
      <xdr:col>3</xdr:col>
      <xdr:colOff>228600</xdr:colOff>
      <xdr:row>29</xdr:row>
      <xdr:rowOff>142875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000375" y="4629150"/>
          <a:ext cx="5295900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600" b="1"/>
            <a:t>Összesített irány pontozás</a:t>
          </a:r>
          <a:r>
            <a:rPr lang="hu-HU" sz="1600" b="1" baseline="0"/>
            <a:t> értelmezése:</a:t>
          </a:r>
        </a:p>
        <a:p>
          <a:endParaRPr lang="hu-HU" sz="1100" baseline="0"/>
        </a:p>
        <a:p>
          <a:r>
            <a:rPr lang="hu-HU" sz="1100" b="1" baseline="0"/>
            <a:t>0 pont </a:t>
          </a:r>
          <a:r>
            <a:rPr lang="hu-HU" sz="1100" baseline="0"/>
            <a:t>= minden mutató alapján enyhébb, mint az átlag, ebből következhet, hogy  </a:t>
          </a:r>
        </a:p>
        <a:p>
          <a:r>
            <a:rPr lang="hu-HU" sz="1100" baseline="0"/>
            <a:t>	nagyon enyhe szabályozás lehetséges</a:t>
          </a:r>
        </a:p>
        <a:p>
          <a:r>
            <a:rPr lang="hu-HU" sz="1100" b="1" baseline="0"/>
            <a:t>6 pont </a:t>
          </a:r>
          <a:r>
            <a:rPr lang="hu-HU" sz="1100" baseline="0"/>
            <a:t>= minden mutató alapján szigorúbb, mint az átlag ebből</a:t>
          </a:r>
        </a:p>
        <a:p>
          <a:r>
            <a:rPr lang="hu-HU" sz="1100" baseline="0"/>
            <a:t>	nagyon szigorú szabályozás lehet</a:t>
          </a:r>
        </a:p>
        <a:p>
          <a:r>
            <a:rPr lang="hu-HU" sz="1100" b="1" baseline="0"/>
            <a:t>3 pont </a:t>
          </a:r>
          <a:r>
            <a:rPr lang="hu-HU" sz="1100" baseline="0"/>
            <a:t>= középértéket mutat, ami egy </a:t>
          </a:r>
        </a:p>
        <a:p>
          <a:r>
            <a:rPr lang="hu-HU" sz="1100" baseline="0"/>
            <a:t>	mérsékelten szigorú szabályozást jelezhet</a:t>
          </a:r>
        </a:p>
        <a:p>
          <a:endParaRPr lang="hu-HU" sz="1100" baseline="0"/>
        </a:p>
        <a:p>
          <a:endParaRPr lang="hu-HU" sz="1100"/>
        </a:p>
      </xdr:txBody>
    </xdr:sp>
    <xdr:clientData/>
  </xdr:twoCellAnchor>
  <xdr:twoCellAnchor>
    <xdr:from>
      <xdr:col>1</xdr:col>
      <xdr:colOff>152400</xdr:colOff>
      <xdr:row>32</xdr:row>
      <xdr:rowOff>123825</xdr:rowOff>
    </xdr:from>
    <xdr:to>
      <xdr:col>3</xdr:col>
      <xdr:colOff>1676400</xdr:colOff>
      <xdr:row>50</xdr:row>
      <xdr:rowOff>85725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95600" y="6743700"/>
          <a:ext cx="6848475" cy="3390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A korlátozottsági iránykód értelmezése</a:t>
          </a:r>
        </a:p>
        <a:p>
          <a:endParaRPr lang="hu-HU"/>
        </a:p>
        <a:p>
          <a:r>
            <a:rPr lang="hu-HU" b="0"/>
            <a:t>Az egyes országok drónszabályozásának szigorúságát kvantifikált (számszerűsített) formában értékeltem. </a:t>
          </a:r>
        </a:p>
        <a:p>
          <a:r>
            <a:rPr lang="hu-HU" b="0"/>
            <a:t>Ehhez hat kiválasztott mutatót vizsgáltam, amelyek mind a műveleti szabadságot és adminisztratív terhelést tükrözik (pl. szabadon használható légtérarány, engedélykötelezettség, pilótaszámhoz viszonyított terület stb.)</a:t>
          </a:r>
        </a:p>
        <a:p>
          <a:endParaRPr lang="hu-HU" b="0"/>
        </a:p>
        <a:p>
          <a:r>
            <a:rPr lang="hu-HU" b="0"/>
            <a:t>Minden egyes mutatóhoz meghatároztam egy irányított értelmezési</a:t>
          </a:r>
          <a:r>
            <a:rPr lang="hu-HU" b="0" baseline="0"/>
            <a:t> </a:t>
          </a:r>
          <a:r>
            <a:rPr lang="hu-HU" b="0"/>
            <a:t>logikát: pl. minél kisebb a szabad terület aránya, annál szigorúbb a szabályozás. </a:t>
          </a:r>
        </a:p>
        <a:p>
          <a:r>
            <a:rPr lang="hu-HU" b="0"/>
            <a:t>A hat ország adatait összevetettem az adott mutató középértékével (átlagával), és ha az adott ország az "irány szerint szigorúbb" kategóriába eseik, 1 pontot kapott. </a:t>
          </a:r>
        </a:p>
        <a:p>
          <a:endParaRPr lang="hu-HU" b="0"/>
        </a:p>
        <a:p>
          <a:r>
            <a:rPr lang="hu-HU" b="0"/>
            <a:t>Az így képzett iránykód arra</a:t>
          </a:r>
          <a:r>
            <a:rPr lang="hu-HU" b="0" baseline="0"/>
            <a:t> az </a:t>
          </a:r>
          <a:r>
            <a:rPr lang="hu-HU" b="0"/>
            <a:t> országra vonatkozóan , a szigorúan szabályozott mutatók számát jelenti.</a:t>
          </a:r>
        </a:p>
        <a:p>
          <a:endParaRPr lang="hu-HU" b="0"/>
        </a:p>
        <a:p>
          <a:r>
            <a:rPr lang="hu-HU" b="0"/>
            <a:t>Magyarország példájánál maradva: 3 olyan mutató</a:t>
          </a:r>
          <a:r>
            <a:rPr lang="hu-HU" b="0" baseline="0"/>
            <a:t> jelentkezett, ami </a:t>
          </a:r>
          <a:r>
            <a:rPr lang="hu-HU" b="0"/>
            <a:t> a középértéknél szigorúbb lett, így az  ország összesített iránykódja 3 lett. </a:t>
          </a:r>
        </a:p>
        <a:p>
          <a:r>
            <a:rPr lang="hu-HU" b="0"/>
            <a:t>Ez a megközelítés egy</a:t>
          </a:r>
          <a:r>
            <a:rPr lang="hu-HU" b="0" baseline="0"/>
            <a:t> egyféleképpen </a:t>
          </a:r>
          <a:r>
            <a:rPr lang="hu-HU" b="0"/>
            <a:t>összehasonlítható, számszerűsített képet</a:t>
          </a:r>
          <a:r>
            <a:rPr lang="hu-HU" b="0" baseline="0"/>
            <a:t> mutat, </a:t>
          </a:r>
          <a:r>
            <a:rPr lang="hu-HU" b="0"/>
            <a:t> a környező</a:t>
          </a:r>
          <a:r>
            <a:rPr lang="hu-HU" b="0" baseline="0"/>
            <a:t> 6 </a:t>
          </a:r>
          <a:r>
            <a:rPr lang="hu-HU" b="0"/>
            <a:t>országok drónszabályozásának szigorúságáról.</a:t>
          </a:r>
        </a:p>
        <a:p>
          <a:endParaRPr lang="hu-H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23</xdr:row>
      <xdr:rowOff>76200</xdr:rowOff>
    </xdr:from>
    <xdr:to>
      <xdr:col>4</xdr:col>
      <xdr:colOff>1847850</xdr:colOff>
      <xdr:row>38</xdr:row>
      <xdr:rowOff>152400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867025" y="7486650"/>
          <a:ext cx="6372225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Táblázat értelmezése:</a:t>
          </a:r>
        </a:p>
        <a:p>
          <a:endParaRPr lang="hu-HU"/>
        </a:p>
        <a:p>
          <a:r>
            <a:rPr lang="hu-HU"/>
            <a:t>Az táblázatban kétféle irányt alkalmazok: a korrelációs alapú és a medián alapú elemzési irányt. Ezek az irányok megmutatják, hogy az adott mutató növekedése vagy csökkenése milyen hatással van a repülési lehetőségekre és a légtér használhatóságára.</a:t>
          </a:r>
        </a:p>
        <a:p>
          <a:endParaRPr lang="hu-HU" b="1"/>
        </a:p>
        <a:p>
          <a:r>
            <a:rPr lang="hu-HU" b="1"/>
            <a:t>Pozitív irány (0):</a:t>
          </a:r>
          <a:r>
            <a:rPr lang="hu-HU"/>
            <a:t> A növekedés javulást, kedvező hatást jelent (például több szabad terület vagy több regisztrált pilóta).</a:t>
          </a:r>
        </a:p>
        <a:p>
          <a:r>
            <a:rPr lang="hu-HU" b="1"/>
            <a:t>Negatív irány (1):</a:t>
          </a:r>
          <a:r>
            <a:rPr lang="hu-HU"/>
            <a:t> A növekedés kedvezőtlen hatású, vagyis csökkenés a kívánatosabb (például katonai zónák, ahol nem lehet repülni).</a:t>
          </a:r>
        </a:p>
        <a:p>
          <a:endParaRPr lang="hu-HU"/>
        </a:p>
        <a:p>
          <a:r>
            <a:rPr lang="hu-HU"/>
            <a:t>A korrelációs alapú elemzési irány egy statikus összefüggést</a:t>
          </a:r>
          <a:r>
            <a:rPr lang="hu-HU" baseline="0"/>
            <a:t> tükröz, a medián alapú irány, medián értékek alapján értékeli a mutatóklat, a szabályozottság és arányosság szempontjából.</a:t>
          </a:r>
        </a:p>
        <a:p>
          <a:endParaRPr lang="hu-HU" baseline="0"/>
        </a:p>
        <a:p>
          <a:r>
            <a:rPr lang="hu-HU" baseline="0"/>
            <a:t>Medián érték:  </a:t>
          </a:r>
          <a:r>
            <a:rPr lang="hu-HU"/>
            <a:t>az a szám, amely pontosan a középen van, így a fele az adatoknak kisebb vagy egyenlő nála, és a másik fele nagyobb vagy egyenlő nála.</a:t>
          </a:r>
        </a:p>
        <a:p>
          <a:endParaRPr lang="hu-HU"/>
        </a:p>
        <a:p>
          <a:endParaRPr lang="hu-H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628649</xdr:colOff>
      <xdr:row>11</xdr:row>
      <xdr:rowOff>104775</xdr:rowOff>
    </xdr:from>
    <xdr:to>
      <xdr:col>5</xdr:col>
      <xdr:colOff>1943100</xdr:colOff>
      <xdr:row>25</xdr:row>
      <xdr:rowOff>123825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504949" y="3200400"/>
          <a:ext cx="9134476" cy="2686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Magyarázat a mediánalapú értékelő táblához</a:t>
          </a:r>
        </a:p>
        <a:p>
          <a:endParaRPr lang="hu-HU" sz="1400" b="1"/>
        </a:p>
        <a:p>
          <a:r>
            <a:rPr lang="hu-HU" sz="1100"/>
            <a:t>Ez a táblázat az egyes országok drónhasználat szempontjából,</a:t>
          </a:r>
          <a:r>
            <a:rPr lang="hu-HU" sz="1100" baseline="0"/>
            <a:t> a </a:t>
          </a:r>
          <a:r>
            <a:rPr lang="hu-HU" sz="1100"/>
            <a:t> releváns mutatóinak szigorúságát értékeli.</a:t>
          </a:r>
          <a:br>
            <a:rPr lang="hu-HU" sz="1100"/>
          </a:br>
          <a:r>
            <a:rPr lang="hu-HU" sz="1100"/>
            <a:t>A mutatókhoz tartozó értékek összevetésre kerülnek a többi ország hasonló értékeivel, és az eredmény bináris formában jelenik meg:</a:t>
          </a:r>
        </a:p>
        <a:p>
          <a:endParaRPr lang="hu-HU" sz="1100"/>
        </a:p>
        <a:p>
          <a:r>
            <a:rPr lang="hu-HU" sz="1100" b="1"/>
            <a:t>1 = szigorúbb</a:t>
          </a:r>
          <a:r>
            <a:rPr lang="hu-HU" sz="1100"/>
            <a:t>, mint a medián (korlátozottabb környezet vagy alacsonyabb engedélyezettség),</a:t>
          </a:r>
        </a:p>
        <a:p>
          <a:r>
            <a:rPr lang="hu-HU" sz="1100" b="1"/>
            <a:t>0 = enyhébb</a:t>
          </a:r>
          <a:r>
            <a:rPr lang="hu-HU" sz="1100"/>
            <a:t>, mint a medián (engedékenyebb szabályozás vagy nagyobb esetleg a szabadság).</a:t>
          </a:r>
        </a:p>
        <a:p>
          <a:endParaRPr lang="hu-HU" sz="1100"/>
        </a:p>
        <a:p>
          <a:r>
            <a:rPr lang="hu-HU" sz="1100"/>
            <a:t>A medián egy adott mutatóra vonatkozóan az összes ország értékének középső értéke, így kiegyensúlyozott viszonyítási alapot ad.</a:t>
          </a:r>
        </a:p>
        <a:p>
          <a:endParaRPr lang="hu-HU" sz="1100"/>
        </a:p>
        <a:p>
          <a:r>
            <a:rPr lang="hu-HU" sz="1100"/>
            <a:t>példa:</a:t>
          </a:r>
          <a:r>
            <a:rPr lang="hu-HU" sz="1100" baseline="0"/>
            <a:t> Ha egy ország "Tiltott légterek (km</a:t>
          </a:r>
          <a:r>
            <a:rPr lang="hu-HU" sz="1100" baseline="30000"/>
            <a:t>2</a:t>
          </a:r>
          <a:r>
            <a:rPr lang="hu-HU" sz="1100" baseline="0"/>
            <a:t>) oszlopban  </a:t>
          </a:r>
          <a:r>
            <a:rPr lang="hu-HU" sz="1100" b="1" baseline="0"/>
            <a:t>1-es </a:t>
          </a:r>
          <a:r>
            <a:rPr lang="hu-HU" sz="1100" baseline="0"/>
            <a:t>értéket kap, akkor annál az országnál a tiltott légtér területe nagyobb, mint az ország mediánértéke, azaz szigorubb szabályozás jellemzi.</a:t>
          </a:r>
        </a:p>
        <a:p>
          <a:r>
            <a:rPr lang="hu-HU" sz="1100" baseline="0"/>
            <a:t>Ha a "Szabad terület aránya (%)" oszlopban az érték </a:t>
          </a:r>
          <a:r>
            <a:rPr lang="hu-HU" sz="1100" b="1" baseline="0"/>
            <a:t>0-át</a:t>
          </a:r>
          <a:r>
            <a:rPr lang="hu-HU" sz="1100" baseline="0"/>
            <a:t> kapott, akkor az ország a mediánnál kisebb szabadságfokot biztosít a drónhasználatra, ami kevésbé kedvezőbb helyzetet teremt.</a:t>
          </a:r>
        </a:p>
        <a:p>
          <a:r>
            <a:rPr lang="hu-HU" sz="1100" baseline="0"/>
            <a:t> </a:t>
          </a:r>
          <a:endParaRPr lang="hu-H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2581274</xdr:colOff>
      <xdr:row>70</xdr:row>
      <xdr:rowOff>66674</xdr:rowOff>
    </xdr:from>
    <xdr:to>
      <xdr:col>5</xdr:col>
      <xdr:colOff>381000</xdr:colOff>
      <xdr:row>77</xdr:row>
      <xdr:rowOff>142875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581274" y="16706849"/>
          <a:ext cx="8801101" cy="1409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600" b="1"/>
            <a:t>Táblázatok értelmezése:</a:t>
          </a:r>
        </a:p>
        <a:p>
          <a:endParaRPr lang="hu-HU" sz="1100"/>
        </a:p>
        <a:p>
          <a:r>
            <a:rPr lang="hu-HU" sz="1100" b="1"/>
            <a:t>Normál érték (0–1)</a:t>
          </a:r>
          <a:r>
            <a:rPr lang="hu-HU" sz="1100"/>
            <a:t>:   Az adott kategória értékének aránya a legnagyobb előforduló értékhez viszonyítva.</a:t>
          </a:r>
        </a:p>
        <a:p>
          <a:r>
            <a:rPr lang="hu-HU" sz="1100" b="1"/>
            <a:t>Súlyozott szám</a:t>
          </a:r>
          <a:r>
            <a:rPr lang="hu-HU" sz="1100"/>
            <a:t>:    </a:t>
          </a:r>
          <a:r>
            <a:rPr lang="hu-HU" sz="1100" baseline="0"/>
            <a:t>      </a:t>
          </a:r>
          <a:r>
            <a:rPr lang="hu-HU" sz="1100"/>
            <a:t>A kategóriák fontosságát tükrözi (pl. tiltott légterek nagyobb súlyt kapnak).</a:t>
          </a:r>
        </a:p>
        <a:p>
          <a:r>
            <a:rPr lang="hu-HU" sz="1100" b="1"/>
            <a:t>Részpontszám:	         </a:t>
          </a:r>
          <a:r>
            <a:rPr lang="hu-HU" sz="1100"/>
            <a:t>A normál érték és a súly szorzata – minél nagyobb, annál korlátozottabb az adott terület.</a:t>
          </a:r>
        </a:p>
        <a:p>
          <a:r>
            <a:rPr lang="hu-HU" sz="1100" b="1"/>
            <a:t>Összesített érték (részpontszám):</a:t>
          </a:r>
          <a:r>
            <a:rPr lang="hu-HU" sz="1100" b="1" baseline="0"/>
            <a:t>      </a:t>
          </a:r>
          <a:r>
            <a:rPr lang="hu-HU" sz="1100"/>
            <a:t>Az ország drónhasználatát korlátozó tényezők súlyozott összege. Minél nagyobb, annál több a korlátozás.</a:t>
          </a:r>
        </a:p>
        <a:p>
          <a:endParaRPr lang="hu-H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22</xdr:row>
      <xdr:rowOff>95250</xdr:rowOff>
    </xdr:from>
    <xdr:to>
      <xdr:col>4</xdr:col>
      <xdr:colOff>1295400</xdr:colOff>
      <xdr:row>28</xdr:row>
      <xdr:rowOff>123826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47700" y="6448425"/>
          <a:ext cx="6572250" cy="1171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A táblázat rövid értelmezése:</a:t>
          </a:r>
        </a:p>
        <a:p>
          <a:br>
            <a:rPr lang="hu-HU"/>
          </a:br>
          <a:r>
            <a:rPr lang="hu-HU"/>
            <a:t>A táblázat  korrelációs értékei azt mutatják, hogy az egyes mutatók viszony</a:t>
          </a:r>
          <a:r>
            <a:rPr lang="hu-HU" baseline="0"/>
            <a:t> aránya,</a:t>
          </a:r>
          <a:r>
            <a:rPr lang="hu-HU"/>
            <a:t> milyen hatással vannak a drónhasználat szabadságára. Pozitív értékek jobb, szabadabb lehetőségeket jeleznek, míg negatívak szigorítást vagy korlátozást. Legfontosabb tényező a szabad terület nagysága, amely erősen befolyásolja a használhatóságot.</a:t>
          </a:r>
          <a:endParaRPr lang="hu-H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23</xdr:row>
      <xdr:rowOff>962025</xdr:rowOff>
    </xdr:from>
    <xdr:to>
      <xdr:col>13</xdr:col>
      <xdr:colOff>1162050</xdr:colOff>
      <xdr:row>25</xdr:row>
      <xdr:rowOff>352425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201150" y="5191125"/>
          <a:ext cx="4972050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Korrelációs mátrix táblázat értelmezése:</a:t>
          </a:r>
        </a:p>
        <a:p>
          <a:endParaRPr lang="hu-HU" sz="1100"/>
        </a:p>
        <a:p>
          <a:r>
            <a:rPr lang="hu-HU" sz="1100"/>
            <a:t>A</a:t>
          </a:r>
          <a:r>
            <a:rPr lang="hu-HU" sz="1100" baseline="0"/>
            <a:t> változók közötti páronkénti korrelációt mutatja. A sorok és az oszlopok ugyanazok, mivel minden változó , minden másik változóval való kapcsolatát jeleníti meg.</a:t>
          </a:r>
        </a:p>
        <a:p>
          <a:r>
            <a:rPr lang="hu-HU" sz="1100" baseline="0"/>
            <a:t>A fő átlóban mindig egyes az érték, mert egy változó teljes mértékben önmagával korrelál.</a:t>
          </a:r>
        </a:p>
        <a:p>
          <a:endParaRPr lang="hu-HU" sz="1100" baseline="0"/>
        </a:p>
        <a:p>
          <a:r>
            <a:rPr lang="hu-HU" sz="1100" baseline="0"/>
            <a:t>Az oszlopok és sorok egymás értékeit tükrözik, mert a korreláció szimmetrikus. </a:t>
          </a:r>
        </a:p>
        <a:p>
          <a:endParaRPr lang="hu-HU" sz="1100" baseline="0"/>
        </a:p>
        <a:p>
          <a:r>
            <a:rPr lang="hu-HU" sz="1100" baseline="0"/>
            <a:t>Így áttekinthető, hogy mely változók vannak összefüggésben egymással.</a:t>
          </a:r>
          <a:r>
            <a:rPr lang="hu-HU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asa.europa.eu/hu/light/topics/drone-operators-pilots" TargetMode="External"/><Relationship Id="rId3" Type="http://schemas.openxmlformats.org/officeDocument/2006/relationships/hyperlink" Target="https://map.droniq.de/" TargetMode="External"/><Relationship Id="rId7" Type="http://schemas.openxmlformats.org/officeDocument/2006/relationships/hyperlink" Target="https://www.easa.europa.eu/hu/light/topics/drone-operators-pilots" TargetMode="External"/><Relationship Id="rId2" Type="http://schemas.openxmlformats.org/officeDocument/2006/relationships/hyperlink" Target="https://experience.arcgis.com/experience/1cad6eae759746c0a2cc8cb85f6db776" TargetMode="External"/><Relationship Id="rId1" Type="http://schemas.openxmlformats.org/officeDocument/2006/relationships/hyperlink" Target="https://www.easa.europa.eu/en/domains/civil-drones" TargetMode="External"/><Relationship Id="rId6" Type="http://schemas.openxmlformats.org/officeDocument/2006/relationships/hyperlink" Target="https://en.wikipedia.org/wiki/List_of_countries_and_dependencies_by_area" TargetMode="External"/><Relationship Id="rId5" Type="http://schemas.openxmlformats.org/officeDocument/2006/relationships/hyperlink" Target="https://terkep.droneinfo.hu/" TargetMode="External"/><Relationship Id="rId4" Type="http://schemas.openxmlformats.org/officeDocument/2006/relationships/hyperlink" Target="https://www.caa.ro/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miau.my-x.hu/myx-free/coco/test/246980420250522152436.html" TargetMode="External"/><Relationship Id="rId1" Type="http://schemas.openxmlformats.org/officeDocument/2006/relationships/hyperlink" Target="https://miau.my-x.hu/myx-free/coco/test/908543320250522152317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zoomScale="35" workbookViewId="0"/>
  </sheetViews>
  <sheetFormatPr defaultRowHeight="14.4" x14ac:dyDescent="0.3"/>
  <cols>
    <col min="1" max="1" width="26.109375" customWidth="1"/>
    <col min="2" max="2" width="169" bestFit="1" customWidth="1"/>
  </cols>
  <sheetData>
    <row r="1" spans="1:2" ht="18.600000000000001" thickBot="1" x14ac:dyDescent="0.35">
      <c r="A1" s="131" t="s">
        <v>27</v>
      </c>
      <c r="B1" s="132" t="s">
        <v>28</v>
      </c>
    </row>
    <row r="2" spans="1:2" x14ac:dyDescent="0.3">
      <c r="A2" s="129" t="s">
        <v>34</v>
      </c>
      <c r="B2" s="133" t="s">
        <v>35</v>
      </c>
    </row>
    <row r="3" spans="1:2" ht="43.2" x14ac:dyDescent="0.3">
      <c r="A3" s="130" t="s">
        <v>29</v>
      </c>
      <c r="B3" s="128" t="s">
        <v>38</v>
      </c>
    </row>
    <row r="4" spans="1:2" x14ac:dyDescent="0.3">
      <c r="A4" s="130" t="s">
        <v>36</v>
      </c>
      <c r="B4" s="128" t="s">
        <v>37</v>
      </c>
    </row>
    <row r="5" spans="1:2" x14ac:dyDescent="0.3">
      <c r="A5" s="130" t="s">
        <v>31</v>
      </c>
      <c r="B5" s="128" t="s">
        <v>32</v>
      </c>
    </row>
    <row r="6" spans="1:2" ht="158.4" x14ac:dyDescent="0.3">
      <c r="A6" s="130" t="s">
        <v>30</v>
      </c>
      <c r="B6" s="128" t="s">
        <v>161</v>
      </c>
    </row>
    <row r="7" spans="1:2" x14ac:dyDescent="0.3">
      <c r="A7" s="130" t="s">
        <v>33</v>
      </c>
      <c r="B7" s="128" t="s">
        <v>58</v>
      </c>
    </row>
    <row r="8" spans="1:2" ht="90" customHeight="1" x14ac:dyDescent="0.3">
      <c r="A8" s="200" t="s">
        <v>162</v>
      </c>
      <c r="B8" s="199" t="s">
        <v>163</v>
      </c>
    </row>
    <row r="9" spans="1:2" ht="60" customHeight="1" x14ac:dyDescent="0.3">
      <c r="A9" s="200"/>
      <c r="B9" s="199"/>
    </row>
    <row r="10" spans="1:2" ht="45" customHeight="1" x14ac:dyDescent="0.3">
      <c r="A10" s="200"/>
      <c r="B10" s="199"/>
    </row>
    <row r="11" spans="1:2" ht="15.6" x14ac:dyDescent="0.3">
      <c r="A11" s="201" t="s">
        <v>164</v>
      </c>
      <c r="B11" s="134" t="s">
        <v>165</v>
      </c>
    </row>
    <row r="12" spans="1:2" x14ac:dyDescent="0.3">
      <c r="A12" s="202"/>
      <c r="B12" s="135"/>
    </row>
    <row r="13" spans="1:2" x14ac:dyDescent="0.3">
      <c r="A13" s="202"/>
      <c r="B13" s="136" t="s">
        <v>166</v>
      </c>
    </row>
    <row r="14" spans="1:2" x14ac:dyDescent="0.3">
      <c r="A14" s="202"/>
      <c r="B14" s="135" t="s">
        <v>167</v>
      </c>
    </row>
    <row r="15" spans="1:2" x14ac:dyDescent="0.3">
      <c r="A15" s="202"/>
      <c r="B15" s="136"/>
    </row>
    <row r="16" spans="1:2" x14ac:dyDescent="0.3">
      <c r="A16" s="202"/>
      <c r="B16" s="136" t="s">
        <v>168</v>
      </c>
    </row>
    <row r="17" spans="1:2" x14ac:dyDescent="0.3">
      <c r="A17" s="202"/>
      <c r="B17" s="135" t="s">
        <v>169</v>
      </c>
    </row>
    <row r="18" spans="1:2" x14ac:dyDescent="0.3">
      <c r="A18" s="202"/>
      <c r="B18" s="136"/>
    </row>
    <row r="19" spans="1:2" x14ac:dyDescent="0.3">
      <c r="A19" s="202"/>
      <c r="B19" s="136" t="s">
        <v>170</v>
      </c>
    </row>
    <row r="20" spans="1:2" x14ac:dyDescent="0.3">
      <c r="A20" s="202"/>
      <c r="B20" s="136" t="s">
        <v>171</v>
      </c>
    </row>
    <row r="21" spans="1:2" x14ac:dyDescent="0.3">
      <c r="A21" s="202"/>
      <c r="B21" s="135" t="s">
        <v>172</v>
      </c>
    </row>
    <row r="22" spans="1:2" x14ac:dyDescent="0.3">
      <c r="A22" s="202"/>
      <c r="B22" s="136" t="s">
        <v>173</v>
      </c>
    </row>
    <row r="23" spans="1:2" x14ac:dyDescent="0.3">
      <c r="A23" s="202"/>
      <c r="B23" s="136" t="s">
        <v>174</v>
      </c>
    </row>
    <row r="24" spans="1:2" x14ac:dyDescent="0.3">
      <c r="A24" s="202"/>
      <c r="B24" s="136"/>
    </row>
    <row r="25" spans="1:2" x14ac:dyDescent="0.3">
      <c r="A25" s="202"/>
      <c r="B25" s="136" t="s">
        <v>175</v>
      </c>
    </row>
    <row r="26" spans="1:2" x14ac:dyDescent="0.3">
      <c r="A26" s="202"/>
      <c r="B26" s="135" t="s">
        <v>176</v>
      </c>
    </row>
    <row r="27" spans="1:2" x14ac:dyDescent="0.3">
      <c r="A27" s="202"/>
      <c r="B27" s="136"/>
    </row>
    <row r="28" spans="1:2" x14ac:dyDescent="0.3">
      <c r="A28" s="202"/>
      <c r="B28" s="136" t="s">
        <v>177</v>
      </c>
    </row>
    <row r="29" spans="1:2" x14ac:dyDescent="0.3">
      <c r="A29" s="202"/>
      <c r="B29" s="137" t="s">
        <v>178</v>
      </c>
    </row>
    <row r="30" spans="1:2" x14ac:dyDescent="0.3">
      <c r="A30" s="202"/>
      <c r="B30" s="136"/>
    </row>
    <row r="31" spans="1:2" x14ac:dyDescent="0.3">
      <c r="A31" s="202"/>
      <c r="B31" s="137" t="s">
        <v>179</v>
      </c>
    </row>
    <row r="32" spans="1:2" x14ac:dyDescent="0.3">
      <c r="A32" s="202"/>
      <c r="B32" s="138"/>
    </row>
    <row r="33" spans="1:2" x14ac:dyDescent="0.3">
      <c r="A33" s="202"/>
      <c r="B33" s="139" t="s">
        <v>180</v>
      </c>
    </row>
    <row r="34" spans="1:2" x14ac:dyDescent="0.3">
      <c r="A34" s="202"/>
      <c r="B34" s="137" t="s">
        <v>181</v>
      </c>
    </row>
    <row r="35" spans="1:2" x14ac:dyDescent="0.3">
      <c r="A35" s="202"/>
      <c r="B35" s="138"/>
    </row>
    <row r="36" spans="1:2" x14ac:dyDescent="0.3">
      <c r="A36" s="202"/>
      <c r="B36" s="139" t="s">
        <v>182</v>
      </c>
    </row>
    <row r="37" spans="1:2" ht="15" thickBot="1" x14ac:dyDescent="0.35">
      <c r="A37" s="203"/>
      <c r="B37" s="140" t="s">
        <v>181</v>
      </c>
    </row>
  </sheetData>
  <mergeCells count="3">
    <mergeCell ref="B8:B10"/>
    <mergeCell ref="A8:A10"/>
    <mergeCell ref="A11:A37"/>
  </mergeCells>
  <hyperlinks>
    <hyperlink ref="B14" r:id="rId1" xr:uid="{00000000-0004-0000-0000-000000000000}"/>
    <hyperlink ref="B17" r:id="rId2" xr:uid="{00000000-0004-0000-0000-000001000000}"/>
    <hyperlink ref="B21" r:id="rId3" xr:uid="{00000000-0004-0000-0000-000002000000}"/>
    <hyperlink ref="B26" r:id="rId4" xr:uid="{00000000-0004-0000-0000-000003000000}"/>
    <hyperlink ref="B29" r:id="rId5" display="https://terkep.droneinfo.hu/" xr:uid="{00000000-0004-0000-0000-000004000000}"/>
    <hyperlink ref="B31" r:id="rId6" display="https://en.wikipedia.org/wiki/List_of_countries_and_dependencies_by_area" xr:uid="{00000000-0004-0000-0000-000005000000}"/>
    <hyperlink ref="B34" r:id="rId7" xr:uid="{00000000-0004-0000-0000-000006000000}"/>
    <hyperlink ref="B37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zoomScale="55" workbookViewId="0"/>
  </sheetViews>
  <sheetFormatPr defaultRowHeight="14.4" x14ac:dyDescent="0.3"/>
  <cols>
    <col min="1" max="1" width="41.109375" bestFit="1" customWidth="1"/>
    <col min="2" max="2" width="10.33203125" bestFit="1" customWidth="1"/>
    <col min="3" max="3" width="15.5546875" customWidth="1"/>
    <col min="4" max="4" width="21.88671875" customWidth="1"/>
    <col min="5" max="5" width="86" bestFit="1" customWidth="1"/>
  </cols>
  <sheetData>
    <row r="1" spans="1:5" ht="18.600000000000001" thickBot="1" x14ac:dyDescent="0.4">
      <c r="A1" s="32" t="s">
        <v>44</v>
      </c>
      <c r="B1" s="33" t="s">
        <v>45</v>
      </c>
      <c r="C1" s="33" t="s">
        <v>25</v>
      </c>
      <c r="D1" s="33" t="s">
        <v>46</v>
      </c>
      <c r="E1" s="34" t="s">
        <v>70</v>
      </c>
    </row>
    <row r="2" spans="1:5" ht="29.4" thickBot="1" x14ac:dyDescent="0.35">
      <c r="A2" s="37" t="s">
        <v>13</v>
      </c>
      <c r="B2" s="43">
        <f>'Elemzési irány'!C2</f>
        <v>0</v>
      </c>
      <c r="C2" s="44">
        <f>CORREL('Országok mutatói'!B$2:B$7, 'Országok mutatói2'!$I$2:$I$7)</f>
        <v>0.29241351174972724</v>
      </c>
      <c r="D2" s="45" t="str">
        <f>IF(ISERROR(C2), "nincs adat", IF(OR(AND(B2=0, C2&gt;0), AND(B2=1, C2&lt;0)), "pozitív (jó) hatás", "negatív (rossz) hatás"))</f>
        <v>pozitív (jó) hatás</v>
      </c>
      <c r="E2" s="46" t="s">
        <v>60</v>
      </c>
    </row>
    <row r="3" spans="1:5" ht="29.4" thickBot="1" x14ac:dyDescent="0.35">
      <c r="A3" s="38" t="s">
        <v>14</v>
      </c>
      <c r="B3" s="47">
        <f>'Elemzési irány'!C3</f>
        <v>0</v>
      </c>
      <c r="C3" s="44">
        <f>CORREL('Országok mutatói'!C$2:C$7, 'Országok mutatói2'!$I$2:$I$7)</f>
        <v>0.27174218473070638</v>
      </c>
      <c r="D3" s="49" t="str">
        <f t="shared" ref="D3:D19" si="0">IF(ISERROR(C3), "nincs adat", IF(OR(AND(B3=0, C3&gt;0), AND(B3=1, C3&lt;0)), "pozitív (jó) hatás", "negatív (rossz) hatás"))</f>
        <v>pozitív (jó) hatás</v>
      </c>
      <c r="E3" s="50" t="s">
        <v>61</v>
      </c>
    </row>
    <row r="4" spans="1:5" ht="29.4" thickBot="1" x14ac:dyDescent="0.35">
      <c r="A4" s="38" t="s">
        <v>15</v>
      </c>
      <c r="B4" s="47">
        <f>'Elemzési irány'!C4</f>
        <v>0</v>
      </c>
      <c r="C4" s="44">
        <f>CORREL('Országok mutatói'!D$2:D$7, 'Országok mutatói2'!$I$2:$I$7)</f>
        <v>3.8024037339879399E-2</v>
      </c>
      <c r="D4" s="49" t="str">
        <f t="shared" si="0"/>
        <v>pozitív (jó) hatás</v>
      </c>
      <c r="E4" s="50" t="s">
        <v>62</v>
      </c>
    </row>
    <row r="5" spans="1:5" ht="15" thickBot="1" x14ac:dyDescent="0.35">
      <c r="A5" s="38" t="s">
        <v>16</v>
      </c>
      <c r="B5" s="47">
        <f>'Elemzési irány'!C5</f>
        <v>1</v>
      </c>
      <c r="C5" s="44">
        <f>CORREL('Országok mutatói'!E$2:E$7, 'Országok mutatói2'!$I$2:$I$7)</f>
        <v>-9.6936666099187874E-3</v>
      </c>
      <c r="D5" s="49" t="str">
        <f t="shared" si="0"/>
        <v>pozitív (jó) hatás</v>
      </c>
      <c r="E5" s="51" t="s">
        <v>63</v>
      </c>
    </row>
    <row r="6" spans="1:5" ht="15" thickBot="1" x14ac:dyDescent="0.35">
      <c r="A6" s="38" t="s">
        <v>17</v>
      </c>
      <c r="B6" s="47">
        <f>'Elemzési irány'!C6</f>
        <v>0</v>
      </c>
      <c r="C6" s="44">
        <f>CORREL('Országok mutatói'!F$2:F$7, 'Országok mutatói2'!$I$2:$I$7)</f>
        <v>2.9565667346636543E-2</v>
      </c>
      <c r="D6" s="49" t="str">
        <f t="shared" si="0"/>
        <v>pozitív (jó) hatás</v>
      </c>
      <c r="E6" s="52" t="s">
        <v>64</v>
      </c>
    </row>
    <row r="7" spans="1:5" ht="29.4" thickBot="1" x14ac:dyDescent="0.35">
      <c r="A7" s="38" t="s">
        <v>18</v>
      </c>
      <c r="B7" s="47">
        <f>'Elemzési irány'!C7</f>
        <v>1</v>
      </c>
      <c r="C7" s="44">
        <f>CORREL('Országok mutatói'!G$2:G$7, 'Országok mutatói2'!$I$2:$I$7)</f>
        <v>-6.6290067563377908E-2</v>
      </c>
      <c r="D7" s="49" t="str">
        <f t="shared" si="0"/>
        <v>pozitív (jó) hatás</v>
      </c>
      <c r="E7" s="50" t="s">
        <v>65</v>
      </c>
    </row>
    <row r="8" spans="1:5" ht="15" thickBot="1" x14ac:dyDescent="0.35">
      <c r="A8" s="38" t="s">
        <v>1</v>
      </c>
      <c r="B8" s="47">
        <f>'Elemzési irány'!C8</f>
        <v>0</v>
      </c>
      <c r="C8" s="44">
        <f>CORREL('Országok mutatói'!H$2:H$7, 'Országok mutatói2'!$I$2:$I$7)</f>
        <v>0.53609649693694272</v>
      </c>
      <c r="D8" s="49" t="str">
        <f t="shared" si="0"/>
        <v>pozitív (jó) hatás</v>
      </c>
      <c r="E8" s="52" t="s">
        <v>66</v>
      </c>
    </row>
    <row r="9" spans="1:5" x14ac:dyDescent="0.3">
      <c r="A9" s="38" t="s">
        <v>2</v>
      </c>
      <c r="B9" s="47">
        <f>'Elemzési irány'!D9</f>
        <v>0</v>
      </c>
      <c r="C9" s="44">
        <f>CORREL('Országok mutatói2'!I$2:I$7, 'Országok mutatói2'!$I$2:$I$7)</f>
        <v>1</v>
      </c>
      <c r="D9" s="49" t="str">
        <f t="shared" si="0"/>
        <v>pozitív (jó) hatás</v>
      </c>
      <c r="E9" s="52" t="s">
        <v>67</v>
      </c>
    </row>
    <row r="10" spans="1:5" x14ac:dyDescent="0.3">
      <c r="A10" s="38" t="s">
        <v>3</v>
      </c>
      <c r="B10" s="47">
        <f>'Elemzési irány'!D10</f>
        <v>0</v>
      </c>
      <c r="C10" s="48">
        <f>CORREL('Országok mutatói'!I$2:I$7, 'Országok mutatói2'!$I$2:$I$7)</f>
        <v>-0.11856767913210237</v>
      </c>
      <c r="D10" s="49" t="str">
        <f t="shared" si="0"/>
        <v>negatív (rossz) hatás</v>
      </c>
      <c r="E10" s="52" t="s">
        <v>68</v>
      </c>
    </row>
    <row r="11" spans="1:5" ht="28.8" x14ac:dyDescent="0.3">
      <c r="A11" s="38" t="s">
        <v>4</v>
      </c>
      <c r="B11" s="47">
        <f>'Elemzési irány'!D11</f>
        <v>0</v>
      </c>
      <c r="C11" s="48">
        <f>CORREL('Országok mutatói'!J$2:J$7, 'Országok mutatói2'!$I$2:$I$7)</f>
        <v>-0.17029575512864159</v>
      </c>
      <c r="D11" s="49" t="str">
        <f t="shared" si="0"/>
        <v>negatív (rossz) hatás</v>
      </c>
      <c r="E11" s="50" t="s">
        <v>76</v>
      </c>
    </row>
    <row r="12" spans="1:5" x14ac:dyDescent="0.3">
      <c r="A12" s="38" t="s">
        <v>5</v>
      </c>
      <c r="B12" s="47">
        <f>'Elemzési irány'!D12</f>
        <v>0</v>
      </c>
      <c r="C12" s="48">
        <f>CORREL('Országok mutatói'!K$2:K$7, 'Országok mutatói2'!$I$2:$I$7)</f>
        <v>-5.0047355896811682E-2</v>
      </c>
      <c r="D12" s="49" t="str">
        <f t="shared" si="0"/>
        <v>negatív (rossz) hatás</v>
      </c>
      <c r="E12" s="51" t="s">
        <v>69</v>
      </c>
    </row>
    <row r="13" spans="1:5" ht="57.6" x14ac:dyDescent="0.3">
      <c r="A13" s="38" t="s">
        <v>20</v>
      </c>
      <c r="B13" s="47">
        <f>'Elemzési irány'!D13</f>
        <v>1</v>
      </c>
      <c r="C13" s="48">
        <f>CORREL('Országok mutatói2'!J$2:J$7, 'Országok mutatói2'!$I$2:$I$7)</f>
        <v>0.31982498890845934</v>
      </c>
      <c r="D13" s="49" t="str">
        <f t="shared" si="0"/>
        <v>negatív (rossz) hatás</v>
      </c>
      <c r="E13" s="50" t="s">
        <v>78</v>
      </c>
    </row>
    <row r="14" spans="1:5" ht="28.8" x14ac:dyDescent="0.3">
      <c r="A14" s="38" t="s">
        <v>6</v>
      </c>
      <c r="B14" s="47">
        <f>'Elemzési irány'!D14</f>
        <v>0</v>
      </c>
      <c r="C14" s="48">
        <f>CORREL('Országok mutatói'!L$2:L$7, 'Országok mutatói2'!$I$2:$I$7)</f>
        <v>-4.9630046949610644E-2</v>
      </c>
      <c r="D14" s="49" t="str">
        <f t="shared" si="0"/>
        <v>negatív (rossz) hatás</v>
      </c>
      <c r="E14" s="50" t="s">
        <v>77</v>
      </c>
    </row>
    <row r="15" spans="1:5" x14ac:dyDescent="0.3">
      <c r="A15" s="38" t="s">
        <v>19</v>
      </c>
      <c r="B15" s="47">
        <f>'Elemzési irány'!D15</f>
        <v>1</v>
      </c>
      <c r="C15" s="48">
        <f>CORREL('Országok mutatói2'!K$2:K$7, 'Országok mutatói2'!$I$2:$I$7)</f>
        <v>1.5103440871469975E-2</v>
      </c>
      <c r="D15" s="49" t="str">
        <f t="shared" si="0"/>
        <v>negatív (rossz) hatás</v>
      </c>
      <c r="E15" s="52" t="s">
        <v>71</v>
      </c>
    </row>
    <row r="16" spans="1:5" x14ac:dyDescent="0.3">
      <c r="A16" s="38" t="s">
        <v>21</v>
      </c>
      <c r="B16" s="47">
        <f>'Elemzési irány'!D16</f>
        <v>1</v>
      </c>
      <c r="C16" s="48">
        <f>CORREL('Országok mutatói2'!L$2:L$7, 'Országok mutatói2'!$I$2:$I$7)</f>
        <v>0.32975341298934724</v>
      </c>
      <c r="D16" s="49" t="str">
        <f t="shared" si="0"/>
        <v>negatív (rossz) hatás</v>
      </c>
      <c r="E16" s="52" t="s">
        <v>72</v>
      </c>
    </row>
    <row r="17" spans="1:5" x14ac:dyDescent="0.3">
      <c r="A17" s="38" t="s">
        <v>22</v>
      </c>
      <c r="B17" s="47">
        <f>'Elemzési irány'!D17</f>
        <v>1</v>
      </c>
      <c r="C17" s="48">
        <f>CORREL('Országok mutatói2'!M$2:M$7, 'Országok mutatói2'!$I$2:$I$7)</f>
        <v>-0.63645540653423027</v>
      </c>
      <c r="D17" s="49" t="str">
        <f t="shared" si="0"/>
        <v>pozitív (jó) hatás</v>
      </c>
      <c r="E17" s="51" t="s">
        <v>73</v>
      </c>
    </row>
    <row r="18" spans="1:5" ht="28.8" x14ac:dyDescent="0.3">
      <c r="A18" s="38" t="s">
        <v>23</v>
      </c>
      <c r="B18" s="47">
        <f>'Elemzési irány'!D18</f>
        <v>1</v>
      </c>
      <c r="C18" s="48">
        <f>CORREL('Országok mutatói2'!N$2:N$7, 'Országok mutatói2'!$I$2:$I$7)</f>
        <v>-8.8893943931575375E-2</v>
      </c>
      <c r="D18" s="49" t="str">
        <f t="shared" si="0"/>
        <v>pozitív (jó) hatás</v>
      </c>
      <c r="E18" s="50" t="s">
        <v>74</v>
      </c>
    </row>
    <row r="19" spans="1:5" ht="15" thickBot="1" x14ac:dyDescent="0.35">
      <c r="A19" s="39" t="s">
        <v>26</v>
      </c>
      <c r="B19" s="53">
        <f>'Elemzési irány'!D19</f>
        <v>1</v>
      </c>
      <c r="C19" s="48">
        <f>CORREL('Országok mutatói2'!O$2:O$7, 'Országok mutatói2'!$I$2:$I$7)</f>
        <v>-0.25189439303485878</v>
      </c>
      <c r="D19" s="54" t="str">
        <f t="shared" si="0"/>
        <v>pozitív (jó) hatás</v>
      </c>
      <c r="E19" s="55" t="s">
        <v>75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7"/>
  <sheetViews>
    <sheetView zoomScale="64" workbookViewId="0"/>
  </sheetViews>
  <sheetFormatPr defaultRowHeight="14.4" x14ac:dyDescent="0.3"/>
  <cols>
    <col min="1" max="1" width="11.88671875" bestFit="1" customWidth="1"/>
    <col min="2" max="2" width="15.6640625" bestFit="1" customWidth="1"/>
    <col min="3" max="3" width="9" bestFit="1" customWidth="1"/>
    <col min="4" max="6" width="12.33203125" bestFit="1" customWidth="1"/>
    <col min="7" max="7" width="9.21875" bestFit="1" customWidth="1"/>
    <col min="8" max="8" width="12.33203125" bestFit="1" customWidth="1"/>
    <col min="9" max="9" width="10.109375" bestFit="1" customWidth="1"/>
    <col min="10" max="10" width="12.33203125" bestFit="1" customWidth="1"/>
    <col min="11" max="12" width="16.6640625" bestFit="1" customWidth="1"/>
    <col min="13" max="13" width="8.6640625" bestFit="1" customWidth="1"/>
    <col min="14" max="14" width="12.33203125" bestFit="1" customWidth="1"/>
    <col min="15" max="15" width="12.77734375" bestFit="1" customWidth="1"/>
    <col min="16" max="16" width="10.5546875" bestFit="1" customWidth="1"/>
    <col min="17" max="17" width="9.5546875" bestFit="1" customWidth="1"/>
    <col min="18" max="18" width="13" bestFit="1" customWidth="1"/>
    <col min="19" max="19" width="8.6640625" bestFit="1" customWidth="1"/>
    <col min="20" max="20" width="13" bestFit="1" customWidth="1"/>
    <col min="21" max="21" width="12.77734375" bestFit="1" customWidth="1"/>
    <col min="22" max="23" width="21.21875" bestFit="1" customWidth="1"/>
    <col min="24" max="24" width="16.88671875" bestFit="1" customWidth="1"/>
  </cols>
  <sheetData>
    <row r="1" spans="1:24" ht="58.8" customHeight="1" x14ac:dyDescent="0.35">
      <c r="A1" s="182" t="s">
        <v>0</v>
      </c>
      <c r="B1" s="182" t="s">
        <v>13</v>
      </c>
      <c r="C1" s="182" t="s">
        <v>14</v>
      </c>
      <c r="D1" s="182" t="s">
        <v>193</v>
      </c>
      <c r="E1" s="182" t="s">
        <v>15</v>
      </c>
      <c r="F1" s="182" t="s">
        <v>192</v>
      </c>
      <c r="G1" s="182" t="s">
        <v>16</v>
      </c>
      <c r="H1" s="182" t="s">
        <v>191</v>
      </c>
      <c r="I1" s="182" t="s">
        <v>17</v>
      </c>
      <c r="J1" s="182" t="s">
        <v>190</v>
      </c>
      <c r="K1" s="182" t="s">
        <v>18</v>
      </c>
      <c r="L1" s="182" t="s">
        <v>189</v>
      </c>
      <c r="M1" s="182" t="s">
        <v>1</v>
      </c>
      <c r="N1" s="182" t="s">
        <v>2</v>
      </c>
      <c r="O1" s="182" t="s">
        <v>3</v>
      </c>
      <c r="P1" s="182" t="s">
        <v>4</v>
      </c>
      <c r="Q1" s="182" t="s">
        <v>5</v>
      </c>
      <c r="R1" s="182" t="s">
        <v>20</v>
      </c>
      <c r="S1" s="182" t="s">
        <v>6</v>
      </c>
      <c r="T1" s="182" t="s">
        <v>19</v>
      </c>
      <c r="U1" s="182" t="s">
        <v>21</v>
      </c>
      <c r="V1" s="182" t="s">
        <v>218</v>
      </c>
      <c r="W1" s="182" t="s">
        <v>23</v>
      </c>
      <c r="X1" s="182" t="s">
        <v>26</v>
      </c>
    </row>
    <row r="2" spans="1:24" x14ac:dyDescent="0.3">
      <c r="A2" s="183" t="s">
        <v>7</v>
      </c>
      <c r="B2" s="184">
        <v>93030</v>
      </c>
      <c r="C2" s="184">
        <v>30000</v>
      </c>
      <c r="D2" s="184">
        <v>32.25</v>
      </c>
      <c r="E2" s="184">
        <v>20000</v>
      </c>
      <c r="F2" s="184">
        <v>21.5</v>
      </c>
      <c r="G2" s="184">
        <v>8000</v>
      </c>
      <c r="H2" s="184">
        <v>8.6</v>
      </c>
      <c r="I2" s="184">
        <v>6000</v>
      </c>
      <c r="J2" s="184">
        <v>6.45</v>
      </c>
      <c r="K2" s="184">
        <v>4000</v>
      </c>
      <c r="L2" s="184">
        <v>4.3</v>
      </c>
      <c r="M2" s="184">
        <v>25030</v>
      </c>
      <c r="N2" s="184">
        <v>26.91</v>
      </c>
      <c r="O2" s="184">
        <v>4603</v>
      </c>
      <c r="P2" s="184">
        <v>31</v>
      </c>
      <c r="Q2" s="184">
        <v>2574</v>
      </c>
      <c r="R2" s="184">
        <v>55.92</v>
      </c>
      <c r="S2" s="184">
        <v>1178</v>
      </c>
      <c r="T2" s="184">
        <v>25.59</v>
      </c>
      <c r="U2" s="184">
        <v>0.82</v>
      </c>
      <c r="V2" s="184">
        <v>0.67</v>
      </c>
      <c r="W2" s="184">
        <v>45.77</v>
      </c>
      <c r="X2" s="184">
        <v>9.72416472416473</v>
      </c>
    </row>
    <row r="3" spans="1:24" x14ac:dyDescent="0.3">
      <c r="A3" s="183" t="s">
        <v>8</v>
      </c>
      <c r="B3" s="184">
        <v>83879</v>
      </c>
      <c r="C3" s="184">
        <v>20000</v>
      </c>
      <c r="D3" s="184">
        <v>23.84</v>
      </c>
      <c r="E3" s="184">
        <v>15000</v>
      </c>
      <c r="F3" s="184">
        <v>17.88</v>
      </c>
      <c r="G3" s="184">
        <v>6000</v>
      </c>
      <c r="H3" s="184">
        <v>7.15</v>
      </c>
      <c r="I3" s="184">
        <v>4000</v>
      </c>
      <c r="J3" s="184">
        <v>4.7699999999999996</v>
      </c>
      <c r="K3" s="184">
        <v>2000</v>
      </c>
      <c r="L3" s="184">
        <v>2.38</v>
      </c>
      <c r="M3" s="184">
        <v>36879</v>
      </c>
      <c r="N3" s="184">
        <v>43.97</v>
      </c>
      <c r="O3" s="184">
        <v>51978</v>
      </c>
      <c r="P3" s="184">
        <v>44</v>
      </c>
      <c r="Q3" s="184">
        <v>74188</v>
      </c>
      <c r="R3" s="184">
        <v>142.72999999999999</v>
      </c>
      <c r="S3" s="184">
        <v>2074</v>
      </c>
      <c r="T3" s="184">
        <v>3.99</v>
      </c>
      <c r="U3" s="184">
        <v>1.47</v>
      </c>
      <c r="V3" s="184">
        <v>0.08</v>
      </c>
      <c r="W3" s="184">
        <v>2.8</v>
      </c>
      <c r="X3" s="184">
        <v>0.49710195718984201</v>
      </c>
    </row>
    <row r="4" spans="1:24" x14ac:dyDescent="0.3">
      <c r="A4" s="183" t="s">
        <v>9</v>
      </c>
      <c r="B4" s="184">
        <v>238397</v>
      </c>
      <c r="C4" s="184">
        <v>70000</v>
      </c>
      <c r="D4" s="184">
        <v>29.36</v>
      </c>
      <c r="E4" s="184">
        <v>30000</v>
      </c>
      <c r="F4" s="184">
        <v>12.58</v>
      </c>
      <c r="G4" s="184">
        <v>10000</v>
      </c>
      <c r="H4" s="184">
        <v>4.1900000000000004</v>
      </c>
      <c r="I4" s="184">
        <v>8000</v>
      </c>
      <c r="J4" s="184">
        <v>3.36</v>
      </c>
      <c r="K4" s="184">
        <v>4000</v>
      </c>
      <c r="L4" s="184">
        <v>1.68</v>
      </c>
      <c r="M4" s="184">
        <v>116397</v>
      </c>
      <c r="N4" s="184">
        <v>48.82</v>
      </c>
      <c r="O4" s="184">
        <v>14710</v>
      </c>
      <c r="P4" s="184">
        <v>21</v>
      </c>
      <c r="Q4" s="184">
        <v>6019</v>
      </c>
      <c r="R4" s="184">
        <v>40.92</v>
      </c>
      <c r="S4" s="184">
        <v>2970</v>
      </c>
      <c r="T4" s="184">
        <v>20.190000000000001</v>
      </c>
      <c r="U4" s="184">
        <v>0.61</v>
      </c>
      <c r="V4" s="184">
        <v>0.14000000000000001</v>
      </c>
      <c r="W4" s="184">
        <v>49.34</v>
      </c>
      <c r="X4" s="184">
        <v>19.338262169795598</v>
      </c>
    </row>
    <row r="5" spans="1:24" x14ac:dyDescent="0.3">
      <c r="A5" s="183" t="s">
        <v>10</v>
      </c>
      <c r="B5" s="184">
        <v>49035</v>
      </c>
      <c r="C5" s="184">
        <v>15000</v>
      </c>
      <c r="D5" s="184">
        <v>30.59</v>
      </c>
      <c r="E5" s="184">
        <v>10000</v>
      </c>
      <c r="F5" s="184">
        <v>20.39</v>
      </c>
      <c r="G5" s="184">
        <v>4000</v>
      </c>
      <c r="H5" s="184">
        <v>8.16</v>
      </c>
      <c r="I5" s="184">
        <v>3000</v>
      </c>
      <c r="J5" s="184">
        <v>6.12</v>
      </c>
      <c r="K5" s="184">
        <v>2000</v>
      </c>
      <c r="L5" s="184">
        <v>4.08</v>
      </c>
      <c r="M5" s="184">
        <v>15035</v>
      </c>
      <c r="N5" s="184">
        <v>30.66</v>
      </c>
      <c r="O5" s="184">
        <v>858</v>
      </c>
      <c r="P5" s="184">
        <v>5</v>
      </c>
      <c r="Q5" s="184">
        <v>62</v>
      </c>
      <c r="R5" s="184">
        <v>7.23</v>
      </c>
      <c r="S5" s="184">
        <v>38</v>
      </c>
      <c r="T5" s="184">
        <v>4.43</v>
      </c>
      <c r="U5" s="184">
        <v>0.12</v>
      </c>
      <c r="V5" s="184">
        <v>0.57999999999999996</v>
      </c>
      <c r="W5" s="184">
        <v>61.29</v>
      </c>
      <c r="X5" s="184">
        <v>242.5</v>
      </c>
    </row>
    <row r="6" spans="1:24" x14ac:dyDescent="0.3">
      <c r="A6" s="183" t="s">
        <v>11</v>
      </c>
      <c r="B6" s="184">
        <v>20273</v>
      </c>
      <c r="C6" s="184">
        <v>6000</v>
      </c>
      <c r="D6" s="184">
        <v>29.6</v>
      </c>
      <c r="E6" s="184">
        <v>4000</v>
      </c>
      <c r="F6" s="184">
        <v>19.73</v>
      </c>
      <c r="G6" s="184">
        <v>2000</v>
      </c>
      <c r="H6" s="184">
        <v>9.8699999999999992</v>
      </c>
      <c r="I6" s="184">
        <v>1000</v>
      </c>
      <c r="J6" s="184">
        <v>4.93</v>
      </c>
      <c r="K6" s="184">
        <v>1000</v>
      </c>
      <c r="L6" s="184">
        <v>4.93</v>
      </c>
      <c r="M6" s="184">
        <v>6273</v>
      </c>
      <c r="N6" s="184">
        <v>30.94</v>
      </c>
      <c r="O6" s="184">
        <v>5763</v>
      </c>
      <c r="P6" s="184">
        <v>64</v>
      </c>
      <c r="Q6" s="184">
        <v>5018</v>
      </c>
      <c r="R6" s="184">
        <v>87.07</v>
      </c>
      <c r="S6" s="184">
        <v>436</v>
      </c>
      <c r="T6" s="184">
        <v>7.57</v>
      </c>
      <c r="U6" s="184">
        <v>0.95</v>
      </c>
      <c r="V6" s="184">
        <v>1.1100000000000001</v>
      </c>
      <c r="W6" s="184">
        <v>8.69</v>
      </c>
      <c r="X6" s="184">
        <v>1.2500996412913501</v>
      </c>
    </row>
    <row r="7" spans="1:24" x14ac:dyDescent="0.3">
      <c r="A7" s="183" t="s">
        <v>12</v>
      </c>
      <c r="B7" s="184">
        <v>357386</v>
      </c>
      <c r="C7" s="184">
        <v>100000</v>
      </c>
      <c r="D7" s="184">
        <v>27.98</v>
      </c>
      <c r="E7" s="184">
        <v>80000</v>
      </c>
      <c r="F7" s="184">
        <v>22.38</v>
      </c>
      <c r="G7" s="184">
        <v>30000</v>
      </c>
      <c r="H7" s="184">
        <v>8.39</v>
      </c>
      <c r="I7" s="184">
        <v>20000</v>
      </c>
      <c r="J7" s="184">
        <v>5.6</v>
      </c>
      <c r="K7" s="184">
        <v>10000</v>
      </c>
      <c r="L7" s="184">
        <v>2.8</v>
      </c>
      <c r="M7" s="184">
        <v>117386</v>
      </c>
      <c r="N7" s="184">
        <v>32.85</v>
      </c>
      <c r="O7" s="184">
        <v>694000</v>
      </c>
      <c r="P7" s="184">
        <v>289</v>
      </c>
      <c r="Q7" s="184">
        <v>325000</v>
      </c>
      <c r="R7" s="184">
        <v>46.83</v>
      </c>
      <c r="S7" s="184">
        <v>21600</v>
      </c>
      <c r="T7" s="184">
        <v>3.11</v>
      </c>
      <c r="U7" s="184">
        <v>0.5</v>
      </c>
      <c r="V7" s="184">
        <v>0.04</v>
      </c>
      <c r="W7" s="184">
        <v>6.65</v>
      </c>
      <c r="X7" s="184">
        <v>0.36118769230769199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6"/>
  <sheetViews>
    <sheetView zoomScale="41" zoomScaleNormal="87" workbookViewId="0"/>
  </sheetViews>
  <sheetFormatPr defaultRowHeight="14.4" x14ac:dyDescent="0.3"/>
  <cols>
    <col min="1" max="1" width="41.109375" bestFit="1" customWidth="1"/>
    <col min="2" max="2" width="18.5546875" bestFit="1" customWidth="1"/>
    <col min="3" max="3" width="15" bestFit="1" customWidth="1"/>
    <col min="4" max="4" width="37.44140625" bestFit="1" customWidth="1"/>
    <col min="5" max="12" width="15" bestFit="1" customWidth="1"/>
    <col min="13" max="13" width="16.33203125" bestFit="1" customWidth="1"/>
    <col min="14" max="14" width="23.109375" bestFit="1" customWidth="1"/>
    <col min="15" max="15" width="28.6640625" bestFit="1" customWidth="1"/>
    <col min="16" max="16" width="39.6640625" bestFit="1" customWidth="1"/>
    <col min="17" max="17" width="41.33203125" bestFit="1" customWidth="1"/>
    <col min="18" max="19" width="39" bestFit="1" customWidth="1"/>
  </cols>
  <sheetData>
    <row r="1" spans="1:19" ht="15" thickBot="1" x14ac:dyDescent="0.35">
      <c r="A1" s="2"/>
      <c r="B1" s="3" t="str">
        <f>matrixseged!B1</f>
        <v>Teljes terület (km²)</v>
      </c>
      <c r="C1" s="3" t="str">
        <f>matrixseged!C1</f>
        <v>Tiltott légterek (km²)</v>
      </c>
      <c r="D1" s="3" t="str">
        <f>matrixseged!D1</f>
        <v>Tiltott légtér aránya (%)</v>
      </c>
      <c r="E1" s="3" t="str">
        <f>matrixseged!E1</f>
        <v>Korlátozott légterek (km²)</v>
      </c>
      <c r="F1" s="3" t="str">
        <f>matrixseged!F1</f>
        <v>Korlátozott légterek aránya (%)</v>
      </c>
      <c r="G1" s="3" t="str">
        <f>matrixseged!G1</f>
        <v>Katonai zónák (km²)</v>
      </c>
      <c r="H1" s="3" t="str">
        <f>matrixseged!H1</f>
        <v>Katonai zónák aránya (%)</v>
      </c>
      <c r="I1" s="3" t="str">
        <f>matrixseged!I1</f>
        <v>Repülőtér zónák (km²)</v>
      </c>
      <c r="J1" s="3" t="str">
        <f>matrixseged!J1</f>
        <v>Repülőtér zónák aránya (%)</v>
      </c>
      <c r="K1" s="3" t="str">
        <f>matrixseged!K1</f>
        <v>Természetvédelmi területek (km²)</v>
      </c>
      <c r="L1" s="3" t="str">
        <f>matrixseged!L1</f>
        <v>Természetvédelmi területek aránya (%)</v>
      </c>
      <c r="M1" s="3" t="str">
        <f>matrixseged!M1</f>
        <v>Szabad terület (km²)</v>
      </c>
      <c r="N1" s="3" t="str">
        <f>matrixseged!N1</f>
        <v>Szabad terület aránya (%)</v>
      </c>
      <c r="O1" s="3" t="str">
        <f>matrixseged!O1</f>
        <v>Regisztrált üzemeltetők</v>
      </c>
      <c r="P1" s="3" t="str">
        <f>matrixseged!P1</f>
        <v>Operatív engedélyek</v>
      </c>
      <c r="Q1" s="3" t="str">
        <f>matrixseged!Q1</f>
        <v>A1/A3 tanúsítványok</v>
      </c>
      <c r="R1" s="3" t="str">
        <f>matrixseged!R1</f>
        <v>A1/A3 tanusítvány arány (%)</v>
      </c>
      <c r="S1" s="3" t="str">
        <f>matrixseged!S1</f>
        <v>A2 tanúsítványok</v>
      </c>
    </row>
    <row r="2" spans="1:19" ht="15" thickBot="1" x14ac:dyDescent="0.35">
      <c r="A2" s="1" t="str">
        <f ca="1">INDIRECT("'matrixseged'!" &amp; ADDRESS(1, ROW(A2)))</f>
        <v>Teljes terület (km²)</v>
      </c>
      <c r="B2" s="141">
        <f>CORREL(INDEX(matrixseged!$B$2:$Y$7,,COLUMN()-1), INDEX(matrixseged!$B$2:$Y$7,,ROW()-1))</f>
        <v>1</v>
      </c>
      <c r="C2" s="141">
        <f>CORREL(INDEX(matrixseged!$B$2:$Y$7,,COLUMN()-1), INDEX(matrixseged!$B$2:$Y$7,,ROW()-1))</f>
        <v>0.99740312162156597</v>
      </c>
      <c r="D2" s="141">
        <f>CORREL(INDEX(matrixseged!$B$2:$Y$7,,COLUMN()-1), INDEX(matrixseged!$B$2:$Y$7,,ROW()-1))</f>
        <v>-0.14203727786496559</v>
      </c>
      <c r="E2" s="141">
        <f>CORREL(INDEX(matrixseged!$B$2:$Y$7,,COLUMN()-1), INDEX(matrixseged!$B$2:$Y$7,,ROW()-1))</f>
        <v>0.94969752461298473</v>
      </c>
      <c r="F2" s="141">
        <f>CORREL(INDEX(matrixseged!$B$2:$Y$7,,COLUMN()-1), INDEX(matrixseged!$B$2:$Y$7,,ROW()-1))</f>
        <v>-7.1805871255565423E-2</v>
      </c>
      <c r="G2" s="141">
        <f>CORREL(INDEX(matrixseged!$B$2:$Y$7,,COLUMN()-1), INDEX(matrixseged!$B$2:$Y$7,,ROW()-1))</f>
        <v>0.9285485346053759</v>
      </c>
      <c r="H2" s="141">
        <f>CORREL(INDEX(matrixseged!$B$2:$Y$7,,COLUMN()-1), INDEX(matrixseged!$B$2:$Y$7,,ROW()-1))</f>
        <v>-0.40221016611136867</v>
      </c>
      <c r="I2" s="141">
        <f>CORREL(INDEX(matrixseged!$B$2:$Y$7,,COLUMN()-1), INDEX(matrixseged!$B$2:$Y$7,,ROW()-1))</f>
        <v>0.95128328250697913</v>
      </c>
      <c r="J2" s="141">
        <f>CORREL(INDEX(matrixseged!$B$2:$Y$7,,COLUMN()-1), INDEX(matrixseged!$B$2:$Y$7,,ROW()-1))</f>
        <v>-0.2479169346618641</v>
      </c>
      <c r="K2" s="141">
        <f>CORREL(INDEX(matrixseged!$B$2:$Y$7,,COLUMN()-1), INDEX(matrixseged!$B$2:$Y$7,,ROW()-1))</f>
        <v>0.9244808366652757</v>
      </c>
      <c r="L2" s="141">
        <f>CORREL(INDEX(matrixseged!$B$2:$Y$7,,COLUMN()-1), INDEX(matrixseged!$B$2:$Y$7,,ROW()-1))</f>
        <v>-0.64416127649106059</v>
      </c>
      <c r="M2" s="141">
        <f>CORREL(INDEX(matrixseged!$B$2:$Y$7,,COLUMN()-1), INDEX(matrixseged!$B$2:$Y$7,,ROW()-1))</f>
        <v>0.954399701904041</v>
      </c>
      <c r="N2" s="141">
        <f>CORREL(INDEX(matrixseged!$B$2:$Y$7,,COLUMN()-1), INDEX(matrixseged!$B$2:$Y$7,,ROW()-1))</f>
        <v>0.29256311332941498</v>
      </c>
      <c r="O2" s="141">
        <f>CORREL(INDEX(matrixseged!$B$2:$Y$7,,COLUMN()-1), INDEX(matrixseged!$B$2:$Y$7,,ROW()-1))</f>
        <v>0.81913215722558319</v>
      </c>
      <c r="P2" s="141">
        <f>CORREL(INDEX(matrixseged!$B$2:$Y$7,,COLUMN()-1), INDEX(matrixseged!$B$2:$Y$7,,ROW()-1))</f>
        <v>0.75999369676666917</v>
      </c>
      <c r="Q2" s="141">
        <f>CORREL(INDEX(matrixseged!$B$2:$Y$7,,COLUMN()-1), INDEX(matrixseged!$B$2:$Y$7,,ROW()-1))</f>
        <v>0.78978124093959567</v>
      </c>
      <c r="R2" s="141">
        <f>CORREL(INDEX(matrixseged!$B$2:$Y$7,,COLUMN()-1), INDEX(matrixseged!$B$2:$Y$7,,ROW()-1))</f>
        <v>-0.25176210169375146</v>
      </c>
      <c r="S2" s="141">
        <f>CORREL(INDEX(matrixseged!$B$2:$Y$7,,COLUMN()-1), INDEX(matrixseged!$B$2:$Y$7,,ROW()-1))</f>
        <v>0.8742676367497787</v>
      </c>
    </row>
    <row r="3" spans="1:19" ht="15" thickBot="1" x14ac:dyDescent="0.35">
      <c r="A3" s="1" t="str">
        <f t="shared" ref="A3:A19" ca="1" si="0">INDIRECT("'matrixseged'!" &amp; ADDRESS(1, ROW(A3)))</f>
        <v>Tiltott légterek (km²)</v>
      </c>
      <c r="B3" s="141">
        <f>CORREL(INDEX(matrixseged!$B$2:$Y$7,,COLUMN()-1), INDEX(matrixseged!$B$2:$Y$7,,ROW()-1))</f>
        <v>0.99740312162156597</v>
      </c>
      <c r="C3" s="141">
        <f>CORREL(INDEX(matrixseged!$B$2:$Y$7,,COLUMN()-1), INDEX(matrixseged!$B$2:$Y$7,,ROW()-1))</f>
        <v>1</v>
      </c>
      <c r="D3" s="141">
        <f>CORREL(INDEX(matrixseged!$B$2:$Y$7,,COLUMN()-1), INDEX(matrixseged!$B$2:$Y$7,,ROW()-1))</f>
        <v>-7.5254207850959903E-2</v>
      </c>
      <c r="E3" s="141">
        <f>CORREL(INDEX(matrixseged!$B$2:$Y$7,,COLUMN()-1), INDEX(matrixseged!$B$2:$Y$7,,ROW()-1))</f>
        <v>0.93974419641275486</v>
      </c>
      <c r="F3" s="141">
        <f>CORREL(INDEX(matrixseged!$B$2:$Y$7,,COLUMN()-1), INDEX(matrixseged!$B$2:$Y$7,,ROW()-1))</f>
        <v>-7.9900811014528852E-2</v>
      </c>
      <c r="G3" s="141">
        <f>CORREL(INDEX(matrixseged!$B$2:$Y$7,,COLUMN()-1), INDEX(matrixseged!$B$2:$Y$7,,ROW()-1))</f>
        <v>0.91704350715646499</v>
      </c>
      <c r="H3" s="141">
        <f>CORREL(INDEX(matrixseged!$B$2:$Y$7,,COLUMN()-1), INDEX(matrixseged!$B$2:$Y$7,,ROW()-1))</f>
        <v>-0.41202087519304509</v>
      </c>
      <c r="I3" s="141">
        <f>CORREL(INDEX(matrixseged!$B$2:$Y$7,,COLUMN()-1), INDEX(matrixseged!$B$2:$Y$7,,ROW()-1))</f>
        <v>0.9439873509530462</v>
      </c>
      <c r="J3" s="141">
        <f>CORREL(INDEX(matrixseged!$B$2:$Y$7,,COLUMN()-1), INDEX(matrixseged!$B$2:$Y$7,,ROW()-1))</f>
        <v>-0.23837918601821864</v>
      </c>
      <c r="K3" s="141">
        <f>CORREL(INDEX(matrixseged!$B$2:$Y$7,,COLUMN()-1), INDEX(matrixseged!$B$2:$Y$7,,ROW()-1))</f>
        <v>0.92251756628617021</v>
      </c>
      <c r="L3" s="141">
        <f>CORREL(INDEX(matrixseged!$B$2:$Y$7,,COLUMN()-1), INDEX(matrixseged!$B$2:$Y$7,,ROW()-1))</f>
        <v>-0.62477574158743154</v>
      </c>
      <c r="M3" s="141">
        <f>CORREL(INDEX(matrixseged!$B$2:$Y$7,,COLUMN()-1), INDEX(matrixseged!$B$2:$Y$7,,ROW()-1))</f>
        <v>0.95469112149753943</v>
      </c>
      <c r="N3" s="141">
        <f>CORREL(INDEX(matrixseged!$B$2:$Y$7,,COLUMN()-1), INDEX(matrixseged!$B$2:$Y$7,,ROW()-1))</f>
        <v>0.27187833205226913</v>
      </c>
      <c r="O3" s="141">
        <f>CORREL(INDEX(matrixseged!$B$2:$Y$7,,COLUMN()-1), INDEX(matrixseged!$B$2:$Y$7,,ROW()-1))</f>
        <v>0.79527120918603045</v>
      </c>
      <c r="P3" s="141">
        <f>CORREL(INDEX(matrixseged!$B$2:$Y$7,,COLUMN()-1), INDEX(matrixseged!$B$2:$Y$7,,ROW()-1))</f>
        <v>0.73503568050228074</v>
      </c>
      <c r="Q3" s="141">
        <f>CORREL(INDEX(matrixseged!$B$2:$Y$7,,COLUMN()-1), INDEX(matrixseged!$B$2:$Y$7,,ROW()-1))</f>
        <v>0.7567593365272568</v>
      </c>
      <c r="R3" s="141">
        <f>CORREL(INDEX(matrixseged!$B$2:$Y$7,,COLUMN()-1), INDEX(matrixseged!$B$2:$Y$7,,ROW()-1))</f>
        <v>-0.3009813537174757</v>
      </c>
      <c r="S3" s="141">
        <f>CORREL(INDEX(matrixseged!$B$2:$Y$7,,COLUMN()-1), INDEX(matrixseged!$B$2:$Y$7,,ROW()-1))</f>
        <v>0.85388870452136034</v>
      </c>
    </row>
    <row r="4" spans="1:19" ht="15" thickBot="1" x14ac:dyDescent="0.35">
      <c r="A4" s="1" t="str">
        <f t="shared" ca="1" si="0"/>
        <v>Tiltott légtér aránya (%)</v>
      </c>
      <c r="B4" s="141">
        <f>CORREL(INDEX(matrixseged!$B$2:$Y$7,,COLUMN()-1), INDEX(matrixseged!$B$2:$Y$7,,ROW()-1))</f>
        <v>-0.14203727786496559</v>
      </c>
      <c r="C4" s="141">
        <f>CORREL(INDEX(matrixseged!$B$2:$Y$7,,COLUMN()-1), INDEX(matrixseged!$B$2:$Y$7,,ROW()-1))</f>
        <v>-7.5254207850959903E-2</v>
      </c>
      <c r="D4" s="141">
        <f>CORREL(INDEX(matrixseged!$B$2:$Y$7,,COLUMN()-1), INDEX(matrixseged!$B$2:$Y$7,,ROW()-1))</f>
        <v>0.99999999999999989</v>
      </c>
      <c r="E4" s="141">
        <f>CORREL(INDEX(matrixseged!$B$2:$Y$7,,COLUMN()-1), INDEX(matrixseged!$B$2:$Y$7,,ROW()-1))</f>
        <v>-0.13803696894199149</v>
      </c>
      <c r="F4" s="141">
        <f>CORREL(INDEX(matrixseged!$B$2:$Y$7,,COLUMN()-1), INDEX(matrixseged!$B$2:$Y$7,,ROW()-1))</f>
        <v>0.21309218144394079</v>
      </c>
      <c r="G4" s="141">
        <f>CORREL(INDEX(matrixseged!$B$2:$Y$7,,COLUMN()-1), INDEX(matrixseged!$B$2:$Y$7,,ROW()-1))</f>
        <v>-0.14070201489502546</v>
      </c>
      <c r="H4" s="141">
        <f>CORREL(INDEX(matrixseged!$B$2:$Y$7,,COLUMN()-1), INDEX(matrixseged!$B$2:$Y$7,,ROW()-1))</f>
        <v>0.20961214246379115</v>
      </c>
      <c r="I4" s="141">
        <f>CORREL(INDEX(matrixseged!$B$2:$Y$7,,COLUMN()-1), INDEX(matrixseged!$B$2:$Y$7,,ROW()-1))</f>
        <v>-0.10869862244366614</v>
      </c>
      <c r="J4" s="141">
        <f>CORREL(INDEX(matrixseged!$B$2:$Y$7,,COLUMN()-1), INDEX(matrixseged!$B$2:$Y$7,,ROW()-1))</f>
        <v>0.40703793495533308</v>
      </c>
      <c r="K4" s="141">
        <f>CORREL(INDEX(matrixseged!$B$2:$Y$7,,COLUMN()-1), INDEX(matrixseged!$B$2:$Y$7,,ROW()-1))</f>
        <v>-1.8070910238773778E-2</v>
      </c>
      <c r="L4" s="141">
        <f>CORREL(INDEX(matrixseged!$B$2:$Y$7,,COLUMN()-1), INDEX(matrixseged!$B$2:$Y$7,,ROW()-1))</f>
        <v>0.56107785115895781</v>
      </c>
      <c r="M4" s="141">
        <f>CORREL(INDEX(matrixseged!$B$2:$Y$7,,COLUMN()-1), INDEX(matrixseged!$B$2:$Y$7,,ROW()-1))</f>
        <v>-0.19116697478381178</v>
      </c>
      <c r="N4" s="141">
        <f>CORREL(INDEX(matrixseged!$B$2:$Y$7,,COLUMN()-1), INDEX(matrixseged!$B$2:$Y$7,,ROW()-1))</f>
        <v>-0.59989265351733623</v>
      </c>
      <c r="O4" s="141">
        <f>CORREL(INDEX(matrixseged!$B$2:$Y$7,,COLUMN()-1), INDEX(matrixseged!$B$2:$Y$7,,ROW()-1))</f>
        <v>-0.22635992580819553</v>
      </c>
      <c r="P4" s="141">
        <f>CORREL(INDEX(matrixseged!$B$2:$Y$7,,COLUMN()-1), INDEX(matrixseged!$B$2:$Y$7,,ROW()-1))</f>
        <v>-0.22149331495760088</v>
      </c>
      <c r="Q4" s="141">
        <f>CORREL(INDEX(matrixseged!$B$2:$Y$7,,COLUMN()-1), INDEX(matrixseged!$B$2:$Y$7,,ROW()-1))</f>
        <v>-0.36512921444488672</v>
      </c>
      <c r="R4" s="141">
        <f>CORREL(INDEX(matrixseged!$B$2:$Y$7,,COLUMN()-1), INDEX(matrixseged!$B$2:$Y$7,,ROW()-1))</f>
        <v>-0.74772774268838105</v>
      </c>
      <c r="S4" s="141">
        <f>CORREL(INDEX(matrixseged!$B$2:$Y$7,,COLUMN()-1), INDEX(matrixseged!$B$2:$Y$7,,ROW()-1))</f>
        <v>-0.21481487962370988</v>
      </c>
    </row>
    <row r="5" spans="1:19" ht="15" thickBot="1" x14ac:dyDescent="0.35">
      <c r="A5" s="1" t="str">
        <f t="shared" ca="1" si="0"/>
        <v>Korlátozott légterek (km²)</v>
      </c>
      <c r="B5" s="141">
        <f>CORREL(INDEX(matrixseged!$B$2:$Y$7,,COLUMN()-1), INDEX(matrixseged!$B$2:$Y$7,,ROW()-1))</f>
        <v>0.94969752461298473</v>
      </c>
      <c r="C5" s="141">
        <f>CORREL(INDEX(matrixseged!$B$2:$Y$7,,COLUMN()-1), INDEX(matrixseged!$B$2:$Y$7,,ROW()-1))</f>
        <v>0.93974419641275486</v>
      </c>
      <c r="D5" s="141">
        <f>CORREL(INDEX(matrixseged!$B$2:$Y$7,,COLUMN()-1), INDEX(matrixseged!$B$2:$Y$7,,ROW()-1))</f>
        <v>-0.13803696894199149</v>
      </c>
      <c r="E5" s="141">
        <f>CORREL(INDEX(matrixseged!$B$2:$Y$7,,COLUMN()-1), INDEX(matrixseged!$B$2:$Y$7,,ROW()-1))</f>
        <v>1.0000000000000002</v>
      </c>
      <c r="F5" s="141">
        <f>CORREL(INDEX(matrixseged!$B$2:$Y$7,,COLUMN()-1), INDEX(matrixseged!$B$2:$Y$7,,ROW()-1))</f>
        <v>0.23627225603892235</v>
      </c>
      <c r="G5" s="141">
        <f>CORREL(INDEX(matrixseged!$B$2:$Y$7,,COLUMN()-1), INDEX(matrixseged!$B$2:$Y$7,,ROW()-1))</f>
        <v>0.99802951113165239</v>
      </c>
      <c r="H5" s="141">
        <f>CORREL(INDEX(matrixseged!$B$2:$Y$7,,COLUMN()-1), INDEX(matrixseged!$B$2:$Y$7,,ROW()-1))</f>
        <v>-0.11664301706667847</v>
      </c>
      <c r="I5" s="141">
        <f>CORREL(INDEX(matrixseged!$B$2:$Y$7,,COLUMN()-1), INDEX(matrixseged!$B$2:$Y$7,,ROW()-1))</f>
        <v>0.99859188231566565</v>
      </c>
      <c r="J5" s="141">
        <f>CORREL(INDEX(matrixseged!$B$2:$Y$7,,COLUMN()-1), INDEX(matrixseged!$B$2:$Y$7,,ROW()-1))</f>
        <v>1.7347832483096064E-2</v>
      </c>
      <c r="K5" s="141">
        <f>CORREL(INDEX(matrixseged!$B$2:$Y$7,,COLUMN()-1), INDEX(matrixseged!$B$2:$Y$7,,ROW()-1))</f>
        <v>0.98846241323430983</v>
      </c>
      <c r="L5" s="141">
        <f>CORREL(INDEX(matrixseged!$B$2:$Y$7,,COLUMN()-1), INDEX(matrixseged!$B$2:$Y$7,,ROW()-1))</f>
        <v>-0.44611840464756064</v>
      </c>
      <c r="M5" s="141">
        <f>CORREL(INDEX(matrixseged!$B$2:$Y$7,,COLUMN()-1), INDEX(matrixseged!$B$2:$Y$7,,ROW()-1))</f>
        <v>0.81499441271372475</v>
      </c>
      <c r="N5" s="141">
        <f>CORREL(INDEX(matrixseged!$B$2:$Y$7,,COLUMN()-1), INDEX(matrixseged!$B$2:$Y$7,,ROW()-1))</f>
        <v>3.8227081589255335E-2</v>
      </c>
      <c r="O5" s="141">
        <f>CORREL(INDEX(matrixseged!$B$2:$Y$7,,COLUMN()-1), INDEX(matrixseged!$B$2:$Y$7,,ROW()-1))</f>
        <v>0.94809289773888061</v>
      </c>
      <c r="P5" s="141">
        <f>CORREL(INDEX(matrixseged!$B$2:$Y$7,,COLUMN()-1), INDEX(matrixseged!$B$2:$Y$7,,ROW()-1))</f>
        <v>0.90374149647732349</v>
      </c>
      <c r="Q5" s="141">
        <f>CORREL(INDEX(matrixseged!$B$2:$Y$7,,COLUMN()-1), INDEX(matrixseged!$B$2:$Y$7,,ROW()-1))</f>
        <v>0.92269403445178155</v>
      </c>
      <c r="R5" s="141">
        <f>CORREL(INDEX(matrixseged!$B$2:$Y$7,,COLUMN()-1), INDEX(matrixseged!$B$2:$Y$7,,ROW()-1))</f>
        <v>-0.22267720848477124</v>
      </c>
      <c r="S5" s="141">
        <f>CORREL(INDEX(matrixseged!$B$2:$Y$7,,COLUMN()-1), INDEX(matrixseged!$B$2:$Y$7,,ROW()-1))</f>
        <v>0.97420917025983944</v>
      </c>
    </row>
    <row r="6" spans="1:19" ht="15" thickBot="1" x14ac:dyDescent="0.35">
      <c r="A6" s="1" t="str">
        <f t="shared" ca="1" si="0"/>
        <v>Korlátozott légterek aránya (%)</v>
      </c>
      <c r="B6" s="141">
        <f>CORREL(INDEX(matrixseged!$B$2:$Y$7,,COLUMN()-1), INDEX(matrixseged!$B$2:$Y$7,,ROW()-1))</f>
        <v>-7.1805871255565423E-2</v>
      </c>
      <c r="C6" s="141">
        <f>CORREL(INDEX(matrixseged!$B$2:$Y$7,,COLUMN()-1), INDEX(matrixseged!$B$2:$Y$7,,ROW()-1))</f>
        <v>-7.9900811014528852E-2</v>
      </c>
      <c r="D6" s="141">
        <f>CORREL(INDEX(matrixseged!$B$2:$Y$7,,COLUMN()-1), INDEX(matrixseged!$B$2:$Y$7,,ROW()-1))</f>
        <v>0.21309218144394079</v>
      </c>
      <c r="E6" s="141">
        <f>CORREL(INDEX(matrixseged!$B$2:$Y$7,,COLUMN()-1), INDEX(matrixseged!$B$2:$Y$7,,ROW()-1))</f>
        <v>0.23627225603892235</v>
      </c>
      <c r="F6" s="141">
        <f>CORREL(INDEX(matrixseged!$B$2:$Y$7,,COLUMN()-1), INDEX(matrixseged!$B$2:$Y$7,,ROW()-1))</f>
        <v>1</v>
      </c>
      <c r="G6" s="141">
        <f>CORREL(INDEX(matrixseged!$B$2:$Y$7,,COLUMN()-1), INDEX(matrixseged!$B$2:$Y$7,,ROW()-1))</f>
        <v>0.29326065647649602</v>
      </c>
      <c r="H6" s="141">
        <f>CORREL(INDEX(matrixseged!$B$2:$Y$7,,COLUMN()-1), INDEX(matrixseged!$B$2:$Y$7,,ROW()-1))</f>
        <v>0.87244402938788979</v>
      </c>
      <c r="I6" s="141">
        <f>CORREL(INDEX(matrixseged!$B$2:$Y$7,,COLUMN()-1), INDEX(matrixseged!$B$2:$Y$7,,ROW()-1))</f>
        <v>0.23603988904482573</v>
      </c>
      <c r="J6" s="141">
        <f>CORREL(INDEX(matrixseged!$B$2:$Y$7,,COLUMN()-1), INDEX(matrixseged!$B$2:$Y$7,,ROW()-1))</f>
        <v>0.90539172220150099</v>
      </c>
      <c r="K6" s="141">
        <f>CORREL(INDEX(matrixseged!$B$2:$Y$7,,COLUMN()-1), INDEX(matrixseged!$B$2:$Y$7,,ROW()-1))</f>
        <v>0.30656035339822291</v>
      </c>
      <c r="L6" s="141">
        <f>CORREL(INDEX(matrixseged!$B$2:$Y$7,,COLUMN()-1), INDEX(matrixseged!$B$2:$Y$7,,ROW()-1))</f>
        <v>0.64896038730658556</v>
      </c>
      <c r="M6" s="141">
        <f>CORREL(INDEX(matrixseged!$B$2:$Y$7,,COLUMN()-1), INDEX(matrixseged!$B$2:$Y$7,,ROW()-1))</f>
        <v>-0.36611070519409672</v>
      </c>
      <c r="N6" s="141">
        <f>CORREL(INDEX(matrixseged!$B$2:$Y$7,,COLUMN()-1), INDEX(matrixseged!$B$2:$Y$7,,ROW()-1))</f>
        <v>-0.88627205592863301</v>
      </c>
      <c r="O6" s="141">
        <f>CORREL(INDEX(matrixseged!$B$2:$Y$7,,COLUMN()-1), INDEX(matrixseged!$B$2:$Y$7,,ROW()-1))</f>
        <v>0.43802445444212662</v>
      </c>
      <c r="P6" s="141">
        <f>CORREL(INDEX(matrixseged!$B$2:$Y$7,,COLUMN()-1), INDEX(matrixseged!$B$2:$Y$7,,ROW()-1))</f>
        <v>0.47231225689472728</v>
      </c>
      <c r="Q6" s="141">
        <f>CORREL(INDEX(matrixseged!$B$2:$Y$7,,COLUMN()-1), INDEX(matrixseged!$B$2:$Y$7,,ROW()-1))</f>
        <v>0.41971630012173083</v>
      </c>
      <c r="R6" s="141">
        <f>CORREL(INDEX(matrixseged!$B$2:$Y$7,,COLUMN()-1), INDEX(matrixseged!$B$2:$Y$7,,ROW()-1))</f>
        <v>-9.7181515190965517E-2</v>
      </c>
      <c r="S6" s="141">
        <f>CORREL(INDEX(matrixseged!$B$2:$Y$7,,COLUMN()-1), INDEX(matrixseged!$B$2:$Y$7,,ROW()-1))</f>
        <v>0.35765597361225338</v>
      </c>
    </row>
    <row r="7" spans="1:19" ht="15" thickBot="1" x14ac:dyDescent="0.35">
      <c r="A7" s="1" t="str">
        <f t="shared" ca="1" si="0"/>
        <v>Katonai zónák (km²)</v>
      </c>
      <c r="B7" s="141">
        <f>CORREL(INDEX(matrixseged!$B$2:$Y$7,,COLUMN()-1), INDEX(matrixseged!$B$2:$Y$7,,ROW()-1))</f>
        <v>0.9285485346053759</v>
      </c>
      <c r="C7" s="141">
        <f>CORREL(INDEX(matrixseged!$B$2:$Y$7,,COLUMN()-1), INDEX(matrixseged!$B$2:$Y$7,,ROW()-1))</f>
        <v>0.91704350715646499</v>
      </c>
      <c r="D7" s="141">
        <f>CORREL(INDEX(matrixseged!$B$2:$Y$7,,COLUMN()-1), INDEX(matrixseged!$B$2:$Y$7,,ROW()-1))</f>
        <v>-0.14070201489502546</v>
      </c>
      <c r="E7" s="141">
        <f>CORREL(INDEX(matrixseged!$B$2:$Y$7,,COLUMN()-1), INDEX(matrixseged!$B$2:$Y$7,,ROW()-1))</f>
        <v>0.99802951113165239</v>
      </c>
      <c r="F7" s="141">
        <f>CORREL(INDEX(matrixseged!$B$2:$Y$7,,COLUMN()-1), INDEX(matrixseged!$B$2:$Y$7,,ROW()-1))</f>
        <v>0.29326065647649602</v>
      </c>
      <c r="G7" s="141">
        <f>CORREL(INDEX(matrixseged!$B$2:$Y$7,,COLUMN()-1), INDEX(matrixseged!$B$2:$Y$7,,ROW()-1))</f>
        <v>1.0000000000000002</v>
      </c>
      <c r="H7" s="141">
        <f>CORREL(INDEX(matrixseged!$B$2:$Y$7,,COLUMN()-1), INDEX(matrixseged!$B$2:$Y$7,,ROW()-1))</f>
        <v>-5.9834726669556727E-2</v>
      </c>
      <c r="I7" s="141">
        <f>CORREL(INDEX(matrixseged!$B$2:$Y$7,,COLUMN()-1), INDEX(matrixseged!$B$2:$Y$7,,ROW()-1))</f>
        <v>0.99616306336180038</v>
      </c>
      <c r="J7" s="141">
        <f>CORREL(INDEX(matrixseged!$B$2:$Y$7,,COLUMN()-1), INDEX(matrixseged!$B$2:$Y$7,,ROW()-1))</f>
        <v>6.7914837513075962E-2</v>
      </c>
      <c r="K7" s="141">
        <f>CORREL(INDEX(matrixseged!$B$2:$Y$7,,COLUMN()-1), INDEX(matrixseged!$B$2:$Y$7,,ROW()-1))</f>
        <v>0.98943705362525691</v>
      </c>
      <c r="L7" s="141">
        <f>CORREL(INDEX(matrixseged!$B$2:$Y$7,,COLUMN()-1), INDEX(matrixseged!$B$2:$Y$7,,ROW()-1))</f>
        <v>-0.40466274572762434</v>
      </c>
      <c r="M7" s="141">
        <f>CORREL(INDEX(matrixseged!$B$2:$Y$7,,COLUMN()-1), INDEX(matrixseged!$B$2:$Y$7,,ROW()-1))</f>
        <v>0.77803856255573955</v>
      </c>
      <c r="N7" s="141">
        <f>CORREL(INDEX(matrixseged!$B$2:$Y$7,,COLUMN()-1), INDEX(matrixseged!$B$2:$Y$7,,ROW()-1))</f>
        <v>-9.4788285880010262E-3</v>
      </c>
      <c r="O7" s="141">
        <f>CORREL(INDEX(matrixseged!$B$2:$Y$7,,COLUMN()-1), INDEX(matrixseged!$B$2:$Y$7,,ROW()-1))</f>
        <v>0.961630605699476</v>
      </c>
      <c r="P7" s="141">
        <f>CORREL(INDEX(matrixseged!$B$2:$Y$7,,COLUMN()-1), INDEX(matrixseged!$B$2:$Y$7,,ROW()-1))</f>
        <v>0.92141499844626407</v>
      </c>
      <c r="Q7" s="141">
        <f>CORREL(INDEX(matrixseged!$B$2:$Y$7,,COLUMN()-1), INDEX(matrixseged!$B$2:$Y$7,,ROW()-1))</f>
        <v>0.93848068065054657</v>
      </c>
      <c r="R7" s="141">
        <f>CORREL(INDEX(matrixseged!$B$2:$Y$7,,COLUMN()-1), INDEX(matrixseged!$B$2:$Y$7,,ROW()-1))</f>
        <v>-0.20470122243955838</v>
      </c>
      <c r="S7" s="141">
        <f>CORREL(INDEX(matrixseged!$B$2:$Y$7,,COLUMN()-1), INDEX(matrixseged!$B$2:$Y$7,,ROW()-1))</f>
        <v>0.98201083407811585</v>
      </c>
    </row>
    <row r="8" spans="1:19" ht="15" thickBot="1" x14ac:dyDescent="0.35">
      <c r="A8" s="1" t="str">
        <f t="shared" ca="1" si="0"/>
        <v>Katonai zónák aránya (%)</v>
      </c>
      <c r="B8" s="141">
        <f>CORREL(INDEX(matrixseged!$B$2:$Y$7,,COLUMN()-1), INDEX(matrixseged!$B$2:$Y$7,,ROW()-1))</f>
        <v>-0.40221016611136867</v>
      </c>
      <c r="C8" s="141">
        <f>CORREL(INDEX(matrixseged!$B$2:$Y$7,,COLUMN()-1), INDEX(matrixseged!$B$2:$Y$7,,ROW()-1))</f>
        <v>-0.41202087519304509</v>
      </c>
      <c r="D8" s="141">
        <f>CORREL(INDEX(matrixseged!$B$2:$Y$7,,COLUMN()-1), INDEX(matrixseged!$B$2:$Y$7,,ROW()-1))</f>
        <v>0.20961214246379115</v>
      </c>
      <c r="E8" s="141">
        <f>CORREL(INDEX(matrixseged!$B$2:$Y$7,,COLUMN()-1), INDEX(matrixseged!$B$2:$Y$7,,ROW()-1))</f>
        <v>-0.11664301706667847</v>
      </c>
      <c r="F8" s="141">
        <f>CORREL(INDEX(matrixseged!$B$2:$Y$7,,COLUMN()-1), INDEX(matrixseged!$B$2:$Y$7,,ROW()-1))</f>
        <v>0.87244402938788979</v>
      </c>
      <c r="G8" s="141">
        <f>CORREL(INDEX(matrixseged!$B$2:$Y$7,,COLUMN()-1), INDEX(matrixseged!$B$2:$Y$7,,ROW()-1))</f>
        <v>-5.9834726669556727E-2</v>
      </c>
      <c r="H8" s="141">
        <f>CORREL(INDEX(matrixseged!$B$2:$Y$7,,COLUMN()-1), INDEX(matrixseged!$B$2:$Y$7,,ROW()-1))</f>
        <v>0.99999999999999989</v>
      </c>
      <c r="I8" s="141">
        <f>CORREL(INDEX(matrixseged!$B$2:$Y$7,,COLUMN()-1), INDEX(matrixseged!$B$2:$Y$7,,ROW()-1))</f>
        <v>-0.13088967567386869</v>
      </c>
      <c r="J8" s="141">
        <f>CORREL(INDEX(matrixseged!$B$2:$Y$7,,COLUMN()-1), INDEX(matrixseged!$B$2:$Y$7,,ROW()-1))</f>
        <v>0.73352837040689289</v>
      </c>
      <c r="K8" s="141">
        <f>CORREL(INDEX(matrixseged!$B$2:$Y$7,,COLUMN()-1), INDEX(matrixseged!$B$2:$Y$7,,ROW()-1))</f>
        <v>-6.8596619326354802E-2</v>
      </c>
      <c r="L8" s="141">
        <f>CORREL(INDEX(matrixseged!$B$2:$Y$7,,COLUMN()-1), INDEX(matrixseged!$B$2:$Y$7,,ROW()-1))</f>
        <v>0.86846543170413004</v>
      </c>
      <c r="M8" s="141">
        <f>CORREL(INDEX(matrixseged!$B$2:$Y$7,,COLUMN()-1), INDEX(matrixseged!$B$2:$Y$7,,ROW()-1))</f>
        <v>-0.63733685863473744</v>
      </c>
      <c r="N8" s="141">
        <f>CORREL(INDEX(matrixseged!$B$2:$Y$7,,COLUMN()-1), INDEX(matrixseged!$B$2:$Y$7,,ROW()-1))</f>
        <v>-0.87150545280322167</v>
      </c>
      <c r="O8" s="141">
        <f>CORREL(INDEX(matrixseged!$B$2:$Y$7,,COLUMN()-1), INDEX(matrixseged!$B$2:$Y$7,,ROW()-1))</f>
        <v>0.14670292325876622</v>
      </c>
      <c r="P8" s="141">
        <f>CORREL(INDEX(matrixseged!$B$2:$Y$7,,COLUMN()-1), INDEX(matrixseged!$B$2:$Y$7,,ROW()-1))</f>
        <v>0.25034329548731199</v>
      </c>
      <c r="Q8" s="141">
        <f>CORREL(INDEX(matrixseged!$B$2:$Y$7,,COLUMN()-1), INDEX(matrixseged!$B$2:$Y$7,,ROW()-1))</f>
        <v>0.13180540308585062</v>
      </c>
      <c r="R8" s="141">
        <f>CORREL(INDEX(matrixseged!$B$2:$Y$7,,COLUMN()-1), INDEX(matrixseged!$B$2:$Y$7,,ROW()-1))</f>
        <v>9.4341176427145124E-2</v>
      </c>
      <c r="S8" s="141">
        <f>CORREL(INDEX(matrixseged!$B$2:$Y$7,,COLUMN()-1), INDEX(matrixseged!$B$2:$Y$7,,ROW()-1))</f>
        <v>5.6944902023917603E-2</v>
      </c>
    </row>
    <row r="9" spans="1:19" ht="15" thickBot="1" x14ac:dyDescent="0.35">
      <c r="A9" s="1" t="str">
        <f t="shared" ca="1" si="0"/>
        <v>Repülőtér zónák (km²)</v>
      </c>
      <c r="B9" s="141">
        <f>CORREL(INDEX(matrixseged!$B$2:$Y$7,,COLUMN()-1), INDEX(matrixseged!$B$2:$Y$7,,ROW()-1))</f>
        <v>0.95128328250697913</v>
      </c>
      <c r="C9" s="141">
        <f>CORREL(INDEX(matrixseged!$B$2:$Y$7,,COLUMN()-1), INDEX(matrixseged!$B$2:$Y$7,,ROW()-1))</f>
        <v>0.9439873509530462</v>
      </c>
      <c r="D9" s="141">
        <f>CORREL(INDEX(matrixseged!$B$2:$Y$7,,COLUMN()-1), INDEX(matrixseged!$B$2:$Y$7,,ROW()-1))</f>
        <v>-0.10869862244366614</v>
      </c>
      <c r="E9" s="141">
        <f>CORREL(INDEX(matrixseged!$B$2:$Y$7,,COLUMN()-1), INDEX(matrixseged!$B$2:$Y$7,,ROW()-1))</f>
        <v>0.99859188231566565</v>
      </c>
      <c r="F9" s="141">
        <f>CORREL(INDEX(matrixseged!$B$2:$Y$7,,COLUMN()-1), INDEX(matrixseged!$B$2:$Y$7,,ROW()-1))</f>
        <v>0.23603988904482573</v>
      </c>
      <c r="G9" s="141">
        <f>CORREL(INDEX(matrixseged!$B$2:$Y$7,,COLUMN()-1), INDEX(matrixseged!$B$2:$Y$7,,ROW()-1))</f>
        <v>0.99616306336180038</v>
      </c>
      <c r="H9" s="141">
        <f>CORREL(INDEX(matrixseged!$B$2:$Y$7,,COLUMN()-1), INDEX(matrixseged!$B$2:$Y$7,,ROW()-1))</f>
        <v>-0.13088967567386869</v>
      </c>
      <c r="I9" s="141">
        <f>CORREL(INDEX(matrixseged!$B$2:$Y$7,,COLUMN()-1), INDEX(matrixseged!$B$2:$Y$7,,ROW()-1))</f>
        <v>1</v>
      </c>
      <c r="J9" s="141">
        <f>CORREL(INDEX(matrixseged!$B$2:$Y$7,,COLUMN()-1), INDEX(matrixseged!$B$2:$Y$7,,ROW()-1))</f>
        <v>3.5297166133344847E-2</v>
      </c>
      <c r="K9" s="141">
        <f>CORREL(INDEX(matrixseged!$B$2:$Y$7,,COLUMN()-1), INDEX(matrixseged!$B$2:$Y$7,,ROW()-1))</f>
        <v>0.99356134517870021</v>
      </c>
      <c r="L9" s="141">
        <f>CORREL(INDEX(matrixseged!$B$2:$Y$7,,COLUMN()-1), INDEX(matrixseged!$B$2:$Y$7,,ROW()-1))</f>
        <v>-0.44809098467304015</v>
      </c>
      <c r="M9" s="141">
        <f>CORREL(INDEX(matrixseged!$B$2:$Y$7,,COLUMN()-1), INDEX(matrixseged!$B$2:$Y$7,,ROW()-1))</f>
        <v>0.816617177405636</v>
      </c>
      <c r="N9" s="141">
        <f>CORREL(INDEX(matrixseged!$B$2:$Y$7,,COLUMN()-1), INDEX(matrixseged!$B$2:$Y$7,,ROW()-1))</f>
        <v>2.9773895562296551E-2</v>
      </c>
      <c r="O9" s="141">
        <f>CORREL(INDEX(matrixseged!$B$2:$Y$7,,COLUMN()-1), INDEX(matrixseged!$B$2:$Y$7,,ROW()-1))</f>
        <v>0.93479811517311384</v>
      </c>
      <c r="P9" s="141">
        <f>CORREL(INDEX(matrixseged!$B$2:$Y$7,,COLUMN()-1), INDEX(matrixseged!$B$2:$Y$7,,ROW()-1))</f>
        <v>0.88589705480154324</v>
      </c>
      <c r="Q9" s="141">
        <f>CORREL(INDEX(matrixseged!$B$2:$Y$7,,COLUMN()-1), INDEX(matrixseged!$B$2:$Y$7,,ROW()-1))</f>
        <v>0.90712504976465436</v>
      </c>
      <c r="R9" s="141">
        <f>CORREL(INDEX(matrixseged!$B$2:$Y$7,,COLUMN()-1), INDEX(matrixseged!$B$2:$Y$7,,ROW()-1))</f>
        <v>-0.24319081638236076</v>
      </c>
      <c r="S9" s="141">
        <f>CORREL(INDEX(matrixseged!$B$2:$Y$7,,COLUMN()-1), INDEX(matrixseged!$B$2:$Y$7,,ROW()-1))</f>
        <v>0.9631622625997065</v>
      </c>
    </row>
    <row r="10" spans="1:19" ht="15" thickBot="1" x14ac:dyDescent="0.35">
      <c r="A10" s="1" t="str">
        <f t="shared" ca="1" si="0"/>
        <v>Repülőtér zónák aránya (%)</v>
      </c>
      <c r="B10" s="141">
        <f>CORREL(INDEX(matrixseged!$B$2:$Y$7,,COLUMN()-1), INDEX(matrixseged!$B$2:$Y$7,,ROW()-1))</f>
        <v>-0.2479169346618641</v>
      </c>
      <c r="C10" s="141">
        <f>CORREL(INDEX(matrixseged!$B$2:$Y$7,,COLUMN()-1), INDEX(matrixseged!$B$2:$Y$7,,ROW()-1))</f>
        <v>-0.23837918601821864</v>
      </c>
      <c r="D10" s="141">
        <f>CORREL(INDEX(matrixseged!$B$2:$Y$7,,COLUMN()-1), INDEX(matrixseged!$B$2:$Y$7,,ROW()-1))</f>
        <v>0.40703793495533308</v>
      </c>
      <c r="E10" s="141">
        <f>CORREL(INDEX(matrixseged!$B$2:$Y$7,,COLUMN()-1), INDEX(matrixseged!$B$2:$Y$7,,ROW()-1))</f>
        <v>1.7347832483096064E-2</v>
      </c>
      <c r="F10" s="141">
        <f>CORREL(INDEX(matrixseged!$B$2:$Y$7,,COLUMN()-1), INDEX(matrixseged!$B$2:$Y$7,,ROW()-1))</f>
        <v>0.90539172220150099</v>
      </c>
      <c r="G10" s="141">
        <f>CORREL(INDEX(matrixseged!$B$2:$Y$7,,COLUMN()-1), INDEX(matrixseged!$B$2:$Y$7,,ROW()-1))</f>
        <v>6.7914837513075962E-2</v>
      </c>
      <c r="H10" s="141">
        <f>CORREL(INDEX(matrixseged!$B$2:$Y$7,,COLUMN()-1), INDEX(matrixseged!$B$2:$Y$7,,ROW()-1))</f>
        <v>0.73352837040689289</v>
      </c>
      <c r="I10" s="141">
        <f>CORREL(INDEX(matrixseged!$B$2:$Y$7,,COLUMN()-1), INDEX(matrixseged!$B$2:$Y$7,,ROW()-1))</f>
        <v>3.5297166133344847E-2</v>
      </c>
      <c r="J10" s="141">
        <f>CORREL(INDEX(matrixseged!$B$2:$Y$7,,COLUMN()-1), INDEX(matrixseged!$B$2:$Y$7,,ROW()-1))</f>
        <v>1</v>
      </c>
      <c r="K10" s="141">
        <f>CORREL(INDEX(matrixseged!$B$2:$Y$7,,COLUMN()-1), INDEX(matrixseged!$B$2:$Y$7,,ROW()-1))</f>
        <v>0.1233680086683214</v>
      </c>
      <c r="L10" s="141">
        <f>CORREL(INDEX(matrixseged!$B$2:$Y$7,,COLUMN()-1), INDEX(matrixseged!$B$2:$Y$7,,ROW()-1))</f>
        <v>0.66852890886101324</v>
      </c>
      <c r="M10" s="141">
        <f>CORREL(INDEX(matrixseged!$B$2:$Y$7,,COLUMN()-1), INDEX(matrixseged!$B$2:$Y$7,,ROW()-1))</f>
        <v>-0.50023740089219004</v>
      </c>
      <c r="N10" s="141">
        <f>CORREL(INDEX(matrixseged!$B$2:$Y$7,,COLUMN()-1), INDEX(matrixseged!$B$2:$Y$7,,ROW()-1))</f>
        <v>-0.89577509404728473</v>
      </c>
      <c r="O10" s="141">
        <f>CORREL(INDEX(matrixseged!$B$2:$Y$7,,COLUMN()-1), INDEX(matrixseged!$B$2:$Y$7,,ROW()-1))</f>
        <v>0.1482186923522191</v>
      </c>
      <c r="P10" s="141">
        <f>CORREL(INDEX(matrixseged!$B$2:$Y$7,,COLUMN()-1), INDEX(matrixseged!$B$2:$Y$7,,ROW()-1))</f>
        <v>0.1379849112441425</v>
      </c>
      <c r="Q10" s="141">
        <f>CORREL(INDEX(matrixseged!$B$2:$Y$7,,COLUMN()-1), INDEX(matrixseged!$B$2:$Y$7,,ROW()-1))</f>
        <v>0.12114720094091989</v>
      </c>
      <c r="R10" s="141">
        <f>CORREL(INDEX(matrixseged!$B$2:$Y$7,,COLUMN()-1), INDEX(matrixseged!$B$2:$Y$7,,ROW()-1))</f>
        <v>-0.25734914231726719</v>
      </c>
      <c r="S10" s="141">
        <f>CORREL(INDEX(matrixseged!$B$2:$Y$7,,COLUMN()-1), INDEX(matrixseged!$B$2:$Y$7,,ROW()-1))</f>
        <v>7.5976563000207123E-2</v>
      </c>
    </row>
    <row r="11" spans="1:19" ht="15" thickBot="1" x14ac:dyDescent="0.35">
      <c r="A11" s="1" t="str">
        <f t="shared" ca="1" si="0"/>
        <v>Természetvédelmi területek (km²)</v>
      </c>
      <c r="B11" s="141">
        <f>CORREL(INDEX(matrixseged!$B$2:$Y$7,,COLUMN()-1), INDEX(matrixseged!$B$2:$Y$7,,ROW()-1))</f>
        <v>0.9244808366652757</v>
      </c>
      <c r="C11" s="141">
        <f>CORREL(INDEX(matrixseged!$B$2:$Y$7,,COLUMN()-1), INDEX(matrixseged!$B$2:$Y$7,,ROW()-1))</f>
        <v>0.92251756628617021</v>
      </c>
      <c r="D11" s="141">
        <f>CORREL(INDEX(matrixseged!$B$2:$Y$7,,COLUMN()-1), INDEX(matrixseged!$B$2:$Y$7,,ROW()-1))</f>
        <v>-1.8070910238773778E-2</v>
      </c>
      <c r="E11" s="141">
        <f>CORREL(INDEX(matrixseged!$B$2:$Y$7,,COLUMN()-1), INDEX(matrixseged!$B$2:$Y$7,,ROW()-1))</f>
        <v>0.98846241323430983</v>
      </c>
      <c r="F11" s="141">
        <f>CORREL(INDEX(matrixseged!$B$2:$Y$7,,COLUMN()-1), INDEX(matrixseged!$B$2:$Y$7,,ROW()-1))</f>
        <v>0.30656035339822291</v>
      </c>
      <c r="G11" s="141">
        <f>CORREL(INDEX(matrixseged!$B$2:$Y$7,,COLUMN()-1), INDEX(matrixseged!$B$2:$Y$7,,ROW()-1))</f>
        <v>0.98943705362525691</v>
      </c>
      <c r="H11" s="141">
        <f>CORREL(INDEX(matrixseged!$B$2:$Y$7,,COLUMN()-1), INDEX(matrixseged!$B$2:$Y$7,,ROW()-1))</f>
        <v>-6.8596619326354802E-2</v>
      </c>
      <c r="I11" s="141">
        <f>CORREL(INDEX(matrixseged!$B$2:$Y$7,,COLUMN()-1), INDEX(matrixseged!$B$2:$Y$7,,ROW()-1))</f>
        <v>0.99356134517870021</v>
      </c>
      <c r="J11" s="141">
        <f>CORREL(INDEX(matrixseged!$B$2:$Y$7,,COLUMN()-1), INDEX(matrixseged!$B$2:$Y$7,,ROW()-1))</f>
        <v>0.1233680086683214</v>
      </c>
      <c r="K11" s="141">
        <f>CORREL(INDEX(matrixseged!$B$2:$Y$7,,COLUMN()-1), INDEX(matrixseged!$B$2:$Y$7,,ROW()-1))</f>
        <v>1</v>
      </c>
      <c r="L11" s="141">
        <f>CORREL(INDEX(matrixseged!$B$2:$Y$7,,COLUMN()-1), INDEX(matrixseged!$B$2:$Y$7,,ROW()-1))</f>
        <v>-0.36800267901022021</v>
      </c>
      <c r="M11" s="141">
        <f>CORREL(INDEX(matrixseged!$B$2:$Y$7,,COLUMN()-1), INDEX(matrixseged!$B$2:$Y$7,,ROW()-1))</f>
        <v>0.77061946549706128</v>
      </c>
      <c r="N11" s="141">
        <f>CORREL(INDEX(matrixseged!$B$2:$Y$7,,COLUMN()-1), INDEX(matrixseged!$B$2:$Y$7,,ROW()-1))</f>
        <v>-6.6079058501015794E-2</v>
      </c>
      <c r="O11" s="141">
        <f>CORREL(INDEX(matrixseged!$B$2:$Y$7,,COLUMN()-1), INDEX(matrixseged!$B$2:$Y$7,,ROW()-1))</f>
        <v>0.92416534700050856</v>
      </c>
      <c r="P11" s="141">
        <f>CORREL(INDEX(matrixseged!$B$2:$Y$7,,COLUMN()-1), INDEX(matrixseged!$B$2:$Y$7,,ROW()-1))</f>
        <v>0.87857992624726555</v>
      </c>
      <c r="Q11" s="141">
        <f>CORREL(INDEX(matrixseged!$B$2:$Y$7,,COLUMN()-1), INDEX(matrixseged!$B$2:$Y$7,,ROW()-1))</f>
        <v>0.8870876670417952</v>
      </c>
      <c r="R11" s="141">
        <f>CORREL(INDEX(matrixseged!$B$2:$Y$7,,COLUMN()-1), INDEX(matrixseged!$B$2:$Y$7,,ROW()-1))</f>
        <v>-0.28628684491986889</v>
      </c>
      <c r="S11" s="141">
        <f>CORREL(INDEX(matrixseged!$B$2:$Y$7,,COLUMN()-1), INDEX(matrixseged!$B$2:$Y$7,,ROW()-1))</f>
        <v>0.95001855386596434</v>
      </c>
    </row>
    <row r="12" spans="1:19" ht="15" thickBot="1" x14ac:dyDescent="0.35">
      <c r="A12" s="1" t="str">
        <f t="shared" ca="1" si="0"/>
        <v>Természetvédelmi területek aránya (%)</v>
      </c>
      <c r="B12" s="141">
        <f>CORREL(INDEX(matrixseged!$B$2:$Y$7,,COLUMN()-1), INDEX(matrixseged!$B$2:$Y$7,,ROW()-1))</f>
        <v>-0.64416127649106059</v>
      </c>
      <c r="C12" s="141">
        <f>CORREL(INDEX(matrixseged!$B$2:$Y$7,,COLUMN()-1), INDEX(matrixseged!$B$2:$Y$7,,ROW()-1))</f>
        <v>-0.62477574158743154</v>
      </c>
      <c r="D12" s="141">
        <f>CORREL(INDEX(matrixseged!$B$2:$Y$7,,COLUMN()-1), INDEX(matrixseged!$B$2:$Y$7,,ROW()-1))</f>
        <v>0.56107785115895781</v>
      </c>
      <c r="E12" s="141">
        <f>CORREL(INDEX(matrixseged!$B$2:$Y$7,,COLUMN()-1), INDEX(matrixseged!$B$2:$Y$7,,ROW()-1))</f>
        <v>-0.44611840464756064</v>
      </c>
      <c r="F12" s="141">
        <f>CORREL(INDEX(matrixseged!$B$2:$Y$7,,COLUMN()-1), INDEX(matrixseged!$B$2:$Y$7,,ROW()-1))</f>
        <v>0.64896038730658556</v>
      </c>
      <c r="G12" s="141">
        <f>CORREL(INDEX(matrixseged!$B$2:$Y$7,,COLUMN()-1), INDEX(matrixseged!$B$2:$Y$7,,ROW()-1))</f>
        <v>-0.40466274572762434</v>
      </c>
      <c r="H12" s="141">
        <f>CORREL(INDEX(matrixseged!$B$2:$Y$7,,COLUMN()-1), INDEX(matrixseged!$B$2:$Y$7,,ROW()-1))</f>
        <v>0.86846543170413004</v>
      </c>
      <c r="I12" s="141">
        <f>CORREL(INDEX(matrixseged!$B$2:$Y$7,,COLUMN()-1), INDEX(matrixseged!$B$2:$Y$7,,ROW()-1))</f>
        <v>-0.44809098467304015</v>
      </c>
      <c r="J12" s="141">
        <f>CORREL(INDEX(matrixseged!$B$2:$Y$7,,COLUMN()-1), INDEX(matrixseged!$B$2:$Y$7,,ROW()-1))</f>
        <v>0.66852890886101324</v>
      </c>
      <c r="K12" s="141">
        <f>CORREL(INDEX(matrixseged!$B$2:$Y$7,,COLUMN()-1), INDEX(matrixseged!$B$2:$Y$7,,ROW()-1))</f>
        <v>-0.36800267901022021</v>
      </c>
      <c r="L12" s="141">
        <f>CORREL(INDEX(matrixseged!$B$2:$Y$7,,COLUMN()-1), INDEX(matrixseged!$B$2:$Y$7,,ROW()-1))</f>
        <v>1.0000000000000002</v>
      </c>
      <c r="M12" s="141">
        <f>CORREL(INDEX(matrixseged!$B$2:$Y$7,,COLUMN()-1), INDEX(matrixseged!$B$2:$Y$7,,ROW()-1))</f>
        <v>-0.79382030182219021</v>
      </c>
      <c r="N12" s="141">
        <f>CORREL(INDEX(matrixseged!$B$2:$Y$7,,COLUMN()-1), INDEX(matrixseged!$B$2:$Y$7,,ROW()-1))</f>
        <v>-0.87801695010668879</v>
      </c>
      <c r="O12" s="141">
        <f>CORREL(INDEX(matrixseged!$B$2:$Y$7,,COLUMN()-1), INDEX(matrixseged!$B$2:$Y$7,,ROW()-1))</f>
        <v>-0.25780628280215601</v>
      </c>
      <c r="P12" s="141">
        <f>CORREL(INDEX(matrixseged!$B$2:$Y$7,,COLUMN()-1), INDEX(matrixseged!$B$2:$Y$7,,ROW()-1))</f>
        <v>-0.16049651557522876</v>
      </c>
      <c r="Q12" s="141">
        <f>CORREL(INDEX(matrixseged!$B$2:$Y$7,,COLUMN()-1), INDEX(matrixseged!$B$2:$Y$7,,ROW()-1))</f>
        <v>-0.3142579255866817</v>
      </c>
      <c r="R12" s="141">
        <f>CORREL(INDEX(matrixseged!$B$2:$Y$7,,COLUMN()-1), INDEX(matrixseged!$B$2:$Y$7,,ROW()-1))</f>
        <v>-0.13955331975681307</v>
      </c>
      <c r="S12" s="141">
        <f>CORREL(INDEX(matrixseged!$B$2:$Y$7,,COLUMN()-1), INDEX(matrixseged!$B$2:$Y$7,,ROW()-1))</f>
        <v>-0.32959411143774298</v>
      </c>
    </row>
    <row r="13" spans="1:19" ht="15" thickBot="1" x14ac:dyDescent="0.35">
      <c r="A13" s="1" t="str">
        <f t="shared" ca="1" si="0"/>
        <v>Szabad terület (km²)</v>
      </c>
      <c r="B13" s="141">
        <f>CORREL(INDEX(matrixseged!$B$2:$Y$7,,COLUMN()-1), INDEX(matrixseged!$B$2:$Y$7,,ROW()-1))</f>
        <v>0.954399701904041</v>
      </c>
      <c r="C13" s="141">
        <f>CORREL(INDEX(matrixseged!$B$2:$Y$7,,COLUMN()-1), INDEX(matrixseged!$B$2:$Y$7,,ROW()-1))</f>
        <v>0.95469112149753943</v>
      </c>
      <c r="D13" s="141">
        <f>CORREL(INDEX(matrixseged!$B$2:$Y$7,,COLUMN()-1), INDEX(matrixseged!$B$2:$Y$7,,ROW()-1))</f>
        <v>-0.19116697478381178</v>
      </c>
      <c r="E13" s="141">
        <f>CORREL(INDEX(matrixseged!$B$2:$Y$7,,COLUMN()-1), INDEX(matrixseged!$B$2:$Y$7,,ROW()-1))</f>
        <v>0.81499441271372475</v>
      </c>
      <c r="F13" s="141">
        <f>CORREL(INDEX(matrixseged!$B$2:$Y$7,,COLUMN()-1), INDEX(matrixseged!$B$2:$Y$7,,ROW()-1))</f>
        <v>-0.36611070519409672</v>
      </c>
      <c r="G13" s="141">
        <f>CORREL(INDEX(matrixseged!$B$2:$Y$7,,COLUMN()-1), INDEX(matrixseged!$B$2:$Y$7,,ROW()-1))</f>
        <v>0.77803856255573955</v>
      </c>
      <c r="H13" s="141">
        <f>CORREL(INDEX(matrixseged!$B$2:$Y$7,,COLUMN()-1), INDEX(matrixseged!$B$2:$Y$7,,ROW()-1))</f>
        <v>-0.63733685863473744</v>
      </c>
      <c r="I13" s="141">
        <f>CORREL(INDEX(matrixseged!$B$2:$Y$7,,COLUMN()-1), INDEX(matrixseged!$B$2:$Y$7,,ROW()-1))</f>
        <v>0.816617177405636</v>
      </c>
      <c r="J13" s="141">
        <f>CORREL(INDEX(matrixseged!$B$2:$Y$7,,COLUMN()-1), INDEX(matrixseged!$B$2:$Y$7,,ROW()-1))</f>
        <v>-0.50023740089219004</v>
      </c>
      <c r="K13" s="141">
        <f>CORREL(INDEX(matrixseged!$B$2:$Y$7,,COLUMN()-1), INDEX(matrixseged!$B$2:$Y$7,,ROW()-1))</f>
        <v>0.77061946549706128</v>
      </c>
      <c r="L13" s="141">
        <f>CORREL(INDEX(matrixseged!$B$2:$Y$7,,COLUMN()-1), INDEX(matrixseged!$B$2:$Y$7,,ROW()-1))</f>
        <v>-0.79382030182219021</v>
      </c>
      <c r="M13" s="141">
        <f>CORREL(INDEX(matrixseged!$B$2:$Y$7,,COLUMN()-1), INDEX(matrixseged!$B$2:$Y$7,,ROW()-1))</f>
        <v>0.99999999999999989</v>
      </c>
      <c r="N13" s="141">
        <f>CORREL(INDEX(matrixseged!$B$2:$Y$7,,COLUMN()-1), INDEX(matrixseged!$B$2:$Y$7,,ROW()-1))</f>
        <v>0.53618666363773382</v>
      </c>
      <c r="O13" s="141">
        <f>CORREL(INDEX(matrixseged!$B$2:$Y$7,,COLUMN()-1), INDEX(matrixseged!$B$2:$Y$7,,ROW()-1))</f>
        <v>0.63254549925815884</v>
      </c>
      <c r="P13" s="141">
        <f>CORREL(INDEX(matrixseged!$B$2:$Y$7,,COLUMN()-1), INDEX(matrixseged!$B$2:$Y$7,,ROW()-1))</f>
        <v>0.56603061747892103</v>
      </c>
      <c r="Q13" s="141">
        <f>CORREL(INDEX(matrixseged!$B$2:$Y$7,,COLUMN()-1), INDEX(matrixseged!$B$2:$Y$7,,ROW()-1))</f>
        <v>0.60967439870813878</v>
      </c>
      <c r="R13" s="141">
        <f>CORREL(INDEX(matrixseged!$B$2:$Y$7,,COLUMN()-1), INDEX(matrixseged!$B$2:$Y$7,,ROW()-1))</f>
        <v>-0.21491533553171727</v>
      </c>
      <c r="S13" s="141">
        <f>CORREL(INDEX(matrixseged!$B$2:$Y$7,,COLUMN()-1), INDEX(matrixseged!$B$2:$Y$7,,ROW()-1))</f>
        <v>0.70791965552299474</v>
      </c>
    </row>
    <row r="14" spans="1:19" ht="15" thickBot="1" x14ac:dyDescent="0.35">
      <c r="A14" s="1" t="str">
        <f t="shared" ca="1" si="0"/>
        <v>Szabad terület aránya (%)</v>
      </c>
      <c r="B14" s="141">
        <f>CORREL(INDEX(matrixseged!$B$2:$Y$7,,COLUMN()-1), INDEX(matrixseged!$B$2:$Y$7,,ROW()-1))</f>
        <v>0.29256311332941498</v>
      </c>
      <c r="C14" s="141">
        <f>CORREL(INDEX(matrixseged!$B$2:$Y$7,,COLUMN()-1), INDEX(matrixseged!$B$2:$Y$7,,ROW()-1))</f>
        <v>0.27187833205226913</v>
      </c>
      <c r="D14" s="141">
        <f>CORREL(INDEX(matrixseged!$B$2:$Y$7,,COLUMN()-1), INDEX(matrixseged!$B$2:$Y$7,,ROW()-1))</f>
        <v>-0.59989265351733623</v>
      </c>
      <c r="E14" s="141">
        <f>CORREL(INDEX(matrixseged!$B$2:$Y$7,,COLUMN()-1), INDEX(matrixseged!$B$2:$Y$7,,ROW()-1))</f>
        <v>3.8227081589255335E-2</v>
      </c>
      <c r="F14" s="141">
        <f>CORREL(INDEX(matrixseged!$B$2:$Y$7,,COLUMN()-1), INDEX(matrixseged!$B$2:$Y$7,,ROW()-1))</f>
        <v>-0.88627205592863301</v>
      </c>
      <c r="G14" s="141">
        <f>CORREL(INDEX(matrixseged!$B$2:$Y$7,,COLUMN()-1), INDEX(matrixseged!$B$2:$Y$7,,ROW()-1))</f>
        <v>-9.4788285880010262E-3</v>
      </c>
      <c r="H14" s="141">
        <f>CORREL(INDEX(matrixseged!$B$2:$Y$7,,COLUMN()-1), INDEX(matrixseged!$B$2:$Y$7,,ROW()-1))</f>
        <v>-0.87150545280322167</v>
      </c>
      <c r="I14" s="141">
        <f>CORREL(INDEX(matrixseged!$B$2:$Y$7,,COLUMN()-1), INDEX(matrixseged!$B$2:$Y$7,,ROW()-1))</f>
        <v>2.9773895562296551E-2</v>
      </c>
      <c r="J14" s="141">
        <f>CORREL(INDEX(matrixseged!$B$2:$Y$7,,COLUMN()-1), INDEX(matrixseged!$B$2:$Y$7,,ROW()-1))</f>
        <v>-0.89577509404728473</v>
      </c>
      <c r="K14" s="141">
        <f>CORREL(INDEX(matrixseged!$B$2:$Y$7,,COLUMN()-1), INDEX(matrixseged!$B$2:$Y$7,,ROW()-1))</f>
        <v>-6.6079058501015794E-2</v>
      </c>
      <c r="L14" s="141">
        <f>CORREL(INDEX(matrixseged!$B$2:$Y$7,,COLUMN()-1), INDEX(matrixseged!$B$2:$Y$7,,ROW()-1))</f>
        <v>-0.87801695010668879</v>
      </c>
      <c r="M14" s="141">
        <f>CORREL(INDEX(matrixseged!$B$2:$Y$7,,COLUMN()-1), INDEX(matrixseged!$B$2:$Y$7,,ROW()-1))</f>
        <v>0.53618666363773382</v>
      </c>
      <c r="N14" s="141">
        <f>CORREL(INDEX(matrixseged!$B$2:$Y$7,,COLUMN()-1), INDEX(matrixseged!$B$2:$Y$7,,ROW()-1))</f>
        <v>1</v>
      </c>
      <c r="O14" s="141">
        <f>CORREL(INDEX(matrixseged!$B$2:$Y$7,,COLUMN()-1), INDEX(matrixseged!$B$2:$Y$7,,ROW()-1))</f>
        <v>-0.11836470193132169</v>
      </c>
      <c r="P14" s="141">
        <f>CORREL(INDEX(matrixseged!$B$2:$Y$7,,COLUMN()-1), INDEX(matrixseged!$B$2:$Y$7,,ROW()-1))</f>
        <v>-0.17010456635430651</v>
      </c>
      <c r="Q14" s="141">
        <f>CORREL(INDEX(matrixseged!$B$2:$Y$7,,COLUMN()-1), INDEX(matrixseged!$B$2:$Y$7,,ROW()-1))</f>
        <v>-4.9805672693058495E-2</v>
      </c>
      <c r="R14" s="141">
        <f>CORREL(INDEX(matrixseged!$B$2:$Y$7,,COLUMN()-1), INDEX(matrixseged!$B$2:$Y$7,,ROW()-1))</f>
        <v>0.32004903080574926</v>
      </c>
      <c r="S14" s="141">
        <f>CORREL(INDEX(matrixseged!$B$2:$Y$7,,COLUMN()-1), INDEX(matrixseged!$B$2:$Y$7,,ROW()-1))</f>
        <v>-4.9429964993019708E-2</v>
      </c>
    </row>
    <row r="15" spans="1:19" ht="15" thickBot="1" x14ac:dyDescent="0.35">
      <c r="A15" s="1" t="str">
        <f t="shared" ca="1" si="0"/>
        <v>Regisztrált üzemeltetők</v>
      </c>
      <c r="B15" s="141">
        <f>CORREL(INDEX(matrixseged!$B$2:$Y$7,,COLUMN()-1), INDEX(matrixseged!$B$2:$Y$7,,ROW()-1))</f>
        <v>0.81913215722558319</v>
      </c>
      <c r="C15" s="141">
        <f>CORREL(INDEX(matrixseged!$B$2:$Y$7,,COLUMN()-1), INDEX(matrixseged!$B$2:$Y$7,,ROW()-1))</f>
        <v>0.79527120918603045</v>
      </c>
      <c r="D15" s="141">
        <f>CORREL(INDEX(matrixseged!$B$2:$Y$7,,COLUMN()-1), INDEX(matrixseged!$B$2:$Y$7,,ROW()-1))</f>
        <v>-0.22635992580819553</v>
      </c>
      <c r="E15" s="141">
        <f>CORREL(INDEX(matrixseged!$B$2:$Y$7,,COLUMN()-1), INDEX(matrixseged!$B$2:$Y$7,,ROW()-1))</f>
        <v>0.94809289773888061</v>
      </c>
      <c r="F15" s="141">
        <f>CORREL(INDEX(matrixseged!$B$2:$Y$7,,COLUMN()-1), INDEX(matrixseged!$B$2:$Y$7,,ROW()-1))</f>
        <v>0.43802445444212662</v>
      </c>
      <c r="G15" s="141">
        <f>CORREL(INDEX(matrixseged!$B$2:$Y$7,,COLUMN()-1), INDEX(matrixseged!$B$2:$Y$7,,ROW()-1))</f>
        <v>0.961630605699476</v>
      </c>
      <c r="H15" s="141">
        <f>CORREL(INDEX(matrixseged!$B$2:$Y$7,,COLUMN()-1), INDEX(matrixseged!$B$2:$Y$7,,ROW()-1))</f>
        <v>0.14670292325876622</v>
      </c>
      <c r="I15" s="141">
        <f>CORREL(INDEX(matrixseged!$B$2:$Y$7,,COLUMN()-1), INDEX(matrixseged!$B$2:$Y$7,,ROW()-1))</f>
        <v>0.93479811517311384</v>
      </c>
      <c r="J15" s="141">
        <f>CORREL(INDEX(matrixseged!$B$2:$Y$7,,COLUMN()-1), INDEX(matrixseged!$B$2:$Y$7,,ROW()-1))</f>
        <v>0.1482186923522191</v>
      </c>
      <c r="K15" s="141">
        <f>CORREL(INDEX(matrixseged!$B$2:$Y$7,,COLUMN()-1), INDEX(matrixseged!$B$2:$Y$7,,ROW()-1))</f>
        <v>0.92416534700050856</v>
      </c>
      <c r="L15" s="141">
        <f>CORREL(INDEX(matrixseged!$B$2:$Y$7,,COLUMN()-1), INDEX(matrixseged!$B$2:$Y$7,,ROW()-1))</f>
        <v>-0.25780628280215601</v>
      </c>
      <c r="M15" s="141">
        <f>CORREL(INDEX(matrixseged!$B$2:$Y$7,,COLUMN()-1), INDEX(matrixseged!$B$2:$Y$7,,ROW()-1))</f>
        <v>0.63254549925815884</v>
      </c>
      <c r="N15" s="141">
        <f>CORREL(INDEX(matrixseged!$B$2:$Y$7,,COLUMN()-1), INDEX(matrixseged!$B$2:$Y$7,,ROW()-1))</f>
        <v>-0.11836470193132169</v>
      </c>
      <c r="O15" s="141">
        <f>CORREL(INDEX(matrixseged!$B$2:$Y$7,,COLUMN()-1), INDEX(matrixseged!$B$2:$Y$7,,ROW()-1))</f>
        <v>1</v>
      </c>
      <c r="P15" s="141">
        <f>CORREL(INDEX(matrixseged!$B$2:$Y$7,,COLUMN()-1), INDEX(matrixseged!$B$2:$Y$7,,ROW()-1))</f>
        <v>0.98347187472722319</v>
      </c>
      <c r="Q15" s="141">
        <f>CORREL(INDEX(matrixseged!$B$2:$Y$7,,COLUMN()-1), INDEX(matrixseged!$B$2:$Y$7,,ROW()-1))</f>
        <v>0.98778986471092234</v>
      </c>
      <c r="R15" s="141">
        <f>CORREL(INDEX(matrixseged!$B$2:$Y$7,,COLUMN()-1), INDEX(matrixseged!$B$2:$Y$7,,ROW()-1))</f>
        <v>-0.11899155477065275</v>
      </c>
      <c r="S15" s="141">
        <f>CORREL(INDEX(matrixseged!$B$2:$Y$7,,COLUMN()-1), INDEX(matrixseged!$B$2:$Y$7,,ROW()-1))</f>
        <v>0.99421719999362757</v>
      </c>
    </row>
    <row r="16" spans="1:19" ht="15" thickBot="1" x14ac:dyDescent="0.35">
      <c r="A16" s="1" t="str">
        <f t="shared" ca="1" si="0"/>
        <v>Operatív engedélyek</v>
      </c>
      <c r="B16" s="141">
        <f>CORREL(INDEX(matrixseged!$B$2:$Y$7,,COLUMN()-1), INDEX(matrixseged!$B$2:$Y$7,,ROW()-1))</f>
        <v>0.75999369676666917</v>
      </c>
      <c r="C16" s="141">
        <f>CORREL(INDEX(matrixseged!$B$2:$Y$7,,COLUMN()-1), INDEX(matrixseged!$B$2:$Y$7,,ROW()-1))</f>
        <v>0.73503568050228074</v>
      </c>
      <c r="D16" s="141">
        <f>CORREL(INDEX(matrixseged!$B$2:$Y$7,,COLUMN()-1), INDEX(matrixseged!$B$2:$Y$7,,ROW()-1))</f>
        <v>-0.22149331495760088</v>
      </c>
      <c r="E16" s="141">
        <f>CORREL(INDEX(matrixseged!$B$2:$Y$7,,COLUMN()-1), INDEX(matrixseged!$B$2:$Y$7,,ROW()-1))</f>
        <v>0.90374149647732349</v>
      </c>
      <c r="F16" s="141">
        <f>CORREL(INDEX(matrixseged!$B$2:$Y$7,,COLUMN()-1), INDEX(matrixseged!$B$2:$Y$7,,ROW()-1))</f>
        <v>0.47231225689472728</v>
      </c>
      <c r="G16" s="141">
        <f>CORREL(INDEX(matrixseged!$B$2:$Y$7,,COLUMN()-1), INDEX(matrixseged!$B$2:$Y$7,,ROW()-1))</f>
        <v>0.92141499844626407</v>
      </c>
      <c r="H16" s="141">
        <f>CORREL(INDEX(matrixseged!$B$2:$Y$7,,COLUMN()-1), INDEX(matrixseged!$B$2:$Y$7,,ROW()-1))</f>
        <v>0.25034329548731199</v>
      </c>
      <c r="I16" s="141">
        <f>CORREL(INDEX(matrixseged!$B$2:$Y$7,,COLUMN()-1), INDEX(matrixseged!$B$2:$Y$7,,ROW()-1))</f>
        <v>0.88589705480154324</v>
      </c>
      <c r="J16" s="141">
        <f>CORREL(INDEX(matrixseged!$B$2:$Y$7,,COLUMN()-1), INDEX(matrixseged!$B$2:$Y$7,,ROW()-1))</f>
        <v>0.1379849112441425</v>
      </c>
      <c r="K16" s="141">
        <f>CORREL(INDEX(matrixseged!$B$2:$Y$7,,COLUMN()-1), INDEX(matrixseged!$B$2:$Y$7,,ROW()-1))</f>
        <v>0.87857992624726555</v>
      </c>
      <c r="L16" s="141">
        <f>CORREL(INDEX(matrixseged!$B$2:$Y$7,,COLUMN()-1), INDEX(matrixseged!$B$2:$Y$7,,ROW()-1))</f>
        <v>-0.16049651557522876</v>
      </c>
      <c r="M16" s="141">
        <f>CORREL(INDEX(matrixseged!$B$2:$Y$7,,COLUMN()-1), INDEX(matrixseged!$B$2:$Y$7,,ROW()-1))</f>
        <v>0.56603061747892103</v>
      </c>
      <c r="N16" s="141">
        <f>CORREL(INDEX(matrixseged!$B$2:$Y$7,,COLUMN()-1), INDEX(matrixseged!$B$2:$Y$7,,ROW()-1))</f>
        <v>-0.17010456635430651</v>
      </c>
      <c r="O16" s="141">
        <f>CORREL(INDEX(matrixseged!$B$2:$Y$7,,COLUMN()-1), INDEX(matrixseged!$B$2:$Y$7,,ROW()-1))</f>
        <v>0.98347187472722319</v>
      </c>
      <c r="P16" s="141">
        <f>CORREL(INDEX(matrixseged!$B$2:$Y$7,,COLUMN()-1), INDEX(matrixseged!$B$2:$Y$7,,ROW()-1))</f>
        <v>1.0000000000000002</v>
      </c>
      <c r="Q16" s="141">
        <f>CORREL(INDEX(matrixseged!$B$2:$Y$7,,COLUMN()-1), INDEX(matrixseged!$B$2:$Y$7,,ROW()-1))</f>
        <v>0.97090278711203892</v>
      </c>
      <c r="R16" s="141">
        <f>CORREL(INDEX(matrixseged!$B$2:$Y$7,,COLUMN()-1), INDEX(matrixseged!$B$2:$Y$7,,ROW()-1))</f>
        <v>-3.1913325300820049E-2</v>
      </c>
      <c r="S16" s="141">
        <f>CORREL(INDEX(matrixseged!$B$2:$Y$7,,COLUMN()-1), INDEX(matrixseged!$B$2:$Y$7,,ROW()-1))</f>
        <v>0.97331192907296604</v>
      </c>
    </row>
    <row r="17" spans="1:19" ht="15" thickBot="1" x14ac:dyDescent="0.35">
      <c r="A17" s="1" t="str">
        <f t="shared" ca="1" si="0"/>
        <v>A1/A3 tanúsítványok</v>
      </c>
      <c r="B17" s="141">
        <f>CORREL(INDEX(matrixseged!$B$2:$Y$7,,COLUMN()-1), INDEX(matrixseged!$B$2:$Y$7,,ROW()-1))</f>
        <v>0.78978124093959567</v>
      </c>
      <c r="C17" s="141">
        <f>CORREL(INDEX(matrixseged!$B$2:$Y$7,,COLUMN()-1), INDEX(matrixseged!$B$2:$Y$7,,ROW()-1))</f>
        <v>0.7567593365272568</v>
      </c>
      <c r="D17" s="141">
        <f>CORREL(INDEX(matrixseged!$B$2:$Y$7,,COLUMN()-1), INDEX(matrixseged!$B$2:$Y$7,,ROW()-1))</f>
        <v>-0.36512921444488672</v>
      </c>
      <c r="E17" s="141">
        <f>CORREL(INDEX(matrixseged!$B$2:$Y$7,,COLUMN()-1), INDEX(matrixseged!$B$2:$Y$7,,ROW()-1))</f>
        <v>0.92269403445178155</v>
      </c>
      <c r="F17" s="141">
        <f>CORREL(INDEX(matrixseged!$B$2:$Y$7,,COLUMN()-1), INDEX(matrixseged!$B$2:$Y$7,,ROW()-1))</f>
        <v>0.41971630012173083</v>
      </c>
      <c r="G17" s="141">
        <f>CORREL(INDEX(matrixseged!$B$2:$Y$7,,COLUMN()-1), INDEX(matrixseged!$B$2:$Y$7,,ROW()-1))</f>
        <v>0.93848068065054657</v>
      </c>
      <c r="H17" s="141">
        <f>CORREL(INDEX(matrixseged!$B$2:$Y$7,,COLUMN()-1), INDEX(matrixseged!$B$2:$Y$7,,ROW()-1))</f>
        <v>0.13180540308585062</v>
      </c>
      <c r="I17" s="141">
        <f>CORREL(INDEX(matrixseged!$B$2:$Y$7,,COLUMN()-1), INDEX(matrixseged!$B$2:$Y$7,,ROW()-1))</f>
        <v>0.90712504976465436</v>
      </c>
      <c r="J17" s="141">
        <f>CORREL(INDEX(matrixseged!$B$2:$Y$7,,COLUMN()-1), INDEX(matrixseged!$B$2:$Y$7,,ROW()-1))</f>
        <v>0.12114720094091989</v>
      </c>
      <c r="K17" s="141">
        <f>CORREL(INDEX(matrixseged!$B$2:$Y$7,,COLUMN()-1), INDEX(matrixseged!$B$2:$Y$7,,ROW()-1))</f>
        <v>0.8870876670417952</v>
      </c>
      <c r="L17" s="141">
        <f>CORREL(INDEX(matrixseged!$B$2:$Y$7,,COLUMN()-1), INDEX(matrixseged!$B$2:$Y$7,,ROW()-1))</f>
        <v>-0.3142579255866817</v>
      </c>
      <c r="M17" s="141">
        <f>CORREL(INDEX(matrixseged!$B$2:$Y$7,,COLUMN()-1), INDEX(matrixseged!$B$2:$Y$7,,ROW()-1))</f>
        <v>0.60967439870813878</v>
      </c>
      <c r="N17" s="141">
        <f>CORREL(INDEX(matrixseged!$B$2:$Y$7,,COLUMN()-1), INDEX(matrixseged!$B$2:$Y$7,,ROW()-1))</f>
        <v>-4.9805672693058495E-2</v>
      </c>
      <c r="O17" s="141">
        <f>CORREL(INDEX(matrixseged!$B$2:$Y$7,,COLUMN()-1), INDEX(matrixseged!$B$2:$Y$7,,ROW()-1))</f>
        <v>0.98778986471092234</v>
      </c>
      <c r="P17" s="141">
        <f>CORREL(INDEX(matrixseged!$B$2:$Y$7,,COLUMN()-1), INDEX(matrixseged!$B$2:$Y$7,,ROW()-1))</f>
        <v>0.97090278711203892</v>
      </c>
      <c r="Q17" s="141">
        <f>CORREL(INDEX(matrixseged!$B$2:$Y$7,,COLUMN()-1), INDEX(matrixseged!$B$2:$Y$7,,ROW()-1))</f>
        <v>1.0000000000000002</v>
      </c>
      <c r="R17" s="141">
        <f>CORREL(INDEX(matrixseged!$B$2:$Y$7,,COLUMN()-1), INDEX(matrixseged!$B$2:$Y$7,,ROW()-1))</f>
        <v>1.4690528107318732E-2</v>
      </c>
      <c r="S17" s="141">
        <f>CORREL(INDEX(matrixseged!$B$2:$Y$7,,COLUMN()-1), INDEX(matrixseged!$B$2:$Y$7,,ROW()-1))</f>
        <v>0.97834693840012743</v>
      </c>
    </row>
    <row r="18" spans="1:19" ht="15" thickBot="1" x14ac:dyDescent="0.35">
      <c r="A18" s="1" t="str">
        <f t="shared" ca="1" si="0"/>
        <v>A1/A3 tanusítvány arány (%)</v>
      </c>
      <c r="B18" s="141">
        <f>CORREL(INDEX(matrixseged!$B$2:$Y$7,,COLUMN()-1), INDEX(matrixseged!$B$2:$Y$7,,ROW()-1))</f>
        <v>-0.25176210169375146</v>
      </c>
      <c r="C18" s="141">
        <f>CORREL(INDEX(matrixseged!$B$2:$Y$7,,COLUMN()-1), INDEX(matrixseged!$B$2:$Y$7,,ROW()-1))</f>
        <v>-0.3009813537174757</v>
      </c>
      <c r="D18" s="141">
        <f>CORREL(INDEX(matrixseged!$B$2:$Y$7,,COLUMN()-1), INDEX(matrixseged!$B$2:$Y$7,,ROW()-1))</f>
        <v>-0.74772774268838105</v>
      </c>
      <c r="E18" s="141">
        <f>CORREL(INDEX(matrixseged!$B$2:$Y$7,,COLUMN()-1), INDEX(matrixseged!$B$2:$Y$7,,ROW()-1))</f>
        <v>-0.22267720848477124</v>
      </c>
      <c r="F18" s="141">
        <f>CORREL(INDEX(matrixseged!$B$2:$Y$7,,COLUMN()-1), INDEX(matrixseged!$B$2:$Y$7,,ROW()-1))</f>
        <v>-9.7181515190965517E-2</v>
      </c>
      <c r="G18" s="141">
        <f>CORREL(INDEX(matrixseged!$B$2:$Y$7,,COLUMN()-1), INDEX(matrixseged!$B$2:$Y$7,,ROW()-1))</f>
        <v>-0.20470122243955838</v>
      </c>
      <c r="H18" s="141">
        <f>CORREL(INDEX(matrixseged!$B$2:$Y$7,,COLUMN()-1), INDEX(matrixseged!$B$2:$Y$7,,ROW()-1))</f>
        <v>9.4341176427145124E-2</v>
      </c>
      <c r="I18" s="141">
        <f>CORREL(INDEX(matrixseged!$B$2:$Y$7,,COLUMN()-1), INDEX(matrixseged!$B$2:$Y$7,,ROW()-1))</f>
        <v>-0.24319081638236076</v>
      </c>
      <c r="J18" s="141">
        <f>CORREL(INDEX(matrixseged!$B$2:$Y$7,,COLUMN()-1), INDEX(matrixseged!$B$2:$Y$7,,ROW()-1))</f>
        <v>-0.25734914231726719</v>
      </c>
      <c r="K18" s="141">
        <f>CORREL(INDEX(matrixseged!$B$2:$Y$7,,COLUMN()-1), INDEX(matrixseged!$B$2:$Y$7,,ROW()-1))</f>
        <v>-0.28628684491986889</v>
      </c>
      <c r="L18" s="141">
        <f>CORREL(INDEX(matrixseged!$B$2:$Y$7,,COLUMN()-1), INDEX(matrixseged!$B$2:$Y$7,,ROW()-1))</f>
        <v>-0.13955331975681307</v>
      </c>
      <c r="M18" s="141">
        <f>CORREL(INDEX(matrixseged!$B$2:$Y$7,,COLUMN()-1), INDEX(matrixseged!$B$2:$Y$7,,ROW()-1))</f>
        <v>-0.21491533553171727</v>
      </c>
      <c r="N18" s="141">
        <f>CORREL(INDEX(matrixseged!$B$2:$Y$7,,COLUMN()-1), INDEX(matrixseged!$B$2:$Y$7,,ROW()-1))</f>
        <v>0.32004903080574926</v>
      </c>
      <c r="O18" s="141">
        <f>CORREL(INDEX(matrixseged!$B$2:$Y$7,,COLUMN()-1), INDEX(matrixseged!$B$2:$Y$7,,ROW()-1))</f>
        <v>-0.11899155477065275</v>
      </c>
      <c r="P18" s="141">
        <f>CORREL(INDEX(matrixseged!$B$2:$Y$7,,COLUMN()-1), INDEX(matrixseged!$B$2:$Y$7,,ROW()-1))</f>
        <v>-3.1913325300820049E-2</v>
      </c>
      <c r="Q18" s="141">
        <f>CORREL(INDEX(matrixseged!$B$2:$Y$7,,COLUMN()-1), INDEX(matrixseged!$B$2:$Y$7,,ROW()-1))</f>
        <v>1.4690528107318732E-2</v>
      </c>
      <c r="R18" s="141">
        <f>CORREL(INDEX(matrixseged!$B$2:$Y$7,,COLUMN()-1), INDEX(matrixseged!$B$2:$Y$7,,ROW()-1))</f>
        <v>0.99999999999999989</v>
      </c>
      <c r="S18" s="141">
        <f>CORREL(INDEX(matrixseged!$B$2:$Y$7,,COLUMN()-1), INDEX(matrixseged!$B$2:$Y$7,,ROW()-1))</f>
        <v>-0.13499978695725875</v>
      </c>
    </row>
    <row r="19" spans="1:19" ht="15" thickBot="1" x14ac:dyDescent="0.35">
      <c r="A19" s="1" t="str">
        <f t="shared" ca="1" si="0"/>
        <v>A2 tanúsítványok</v>
      </c>
      <c r="B19" s="180">
        <f>CORREL(INDEX(matrixseged!$B$2:$Y$7,,COLUMN()-1), INDEX(matrixseged!$B$2:$Y$7,,ROW()-1))</f>
        <v>0.8742676367497787</v>
      </c>
      <c r="C19" s="180">
        <f>CORREL(INDEX(matrixseged!$B$2:$Y$7,,COLUMN()-1), INDEX(matrixseged!$B$2:$Y$7,,ROW()-1))</f>
        <v>0.85388870452136034</v>
      </c>
      <c r="D19" s="180">
        <f>CORREL(INDEX(matrixseged!$B$2:$Y$7,,COLUMN()-1), INDEX(matrixseged!$B$2:$Y$7,,ROW()-1))</f>
        <v>-0.21481487962370988</v>
      </c>
      <c r="E19" s="180">
        <f>CORREL(INDEX(matrixseged!$B$2:$Y$7,,COLUMN()-1), INDEX(matrixseged!$B$2:$Y$7,,ROW()-1))</f>
        <v>0.97420917025983944</v>
      </c>
      <c r="F19" s="180">
        <f>CORREL(INDEX(matrixseged!$B$2:$Y$7,,COLUMN()-1), INDEX(matrixseged!$B$2:$Y$7,,ROW()-1))</f>
        <v>0.35765597361225338</v>
      </c>
      <c r="G19" s="180">
        <f>CORREL(INDEX(matrixseged!$B$2:$Y$7,,COLUMN()-1), INDEX(matrixseged!$B$2:$Y$7,,ROW()-1))</f>
        <v>0.98201083407811585</v>
      </c>
      <c r="H19" s="180">
        <f>CORREL(INDEX(matrixseged!$B$2:$Y$7,,COLUMN()-1), INDEX(matrixseged!$B$2:$Y$7,,ROW()-1))</f>
        <v>5.6944902023917603E-2</v>
      </c>
      <c r="I19" s="180">
        <f>CORREL(INDEX(matrixseged!$B$2:$Y$7,,COLUMN()-1), INDEX(matrixseged!$B$2:$Y$7,,ROW()-1))</f>
        <v>0.9631622625997065</v>
      </c>
      <c r="J19" s="180">
        <f>CORREL(INDEX(matrixseged!$B$2:$Y$7,,COLUMN()-1), INDEX(matrixseged!$B$2:$Y$7,,ROW()-1))</f>
        <v>7.5976563000207123E-2</v>
      </c>
      <c r="K19" s="180">
        <f>CORREL(INDEX(matrixseged!$B$2:$Y$7,,COLUMN()-1), INDEX(matrixseged!$B$2:$Y$7,,ROW()-1))</f>
        <v>0.95001855386596434</v>
      </c>
      <c r="L19" s="180">
        <f>CORREL(INDEX(matrixseged!$B$2:$Y$7,,COLUMN()-1), INDEX(matrixseged!$B$2:$Y$7,,ROW()-1))</f>
        <v>-0.32959411143774298</v>
      </c>
      <c r="M19" s="180">
        <f>CORREL(INDEX(matrixseged!$B$2:$Y$7,,COLUMN()-1), INDEX(matrixseged!$B$2:$Y$7,,ROW()-1))</f>
        <v>0.70791965552299474</v>
      </c>
      <c r="N19" s="180">
        <f>CORREL(INDEX(matrixseged!$B$2:$Y$7,,COLUMN()-1), INDEX(matrixseged!$B$2:$Y$7,,ROW()-1))</f>
        <v>-4.9429964993019708E-2</v>
      </c>
      <c r="O19" s="180">
        <f>CORREL(INDEX(matrixseged!$B$2:$Y$7,,COLUMN()-1), INDEX(matrixseged!$B$2:$Y$7,,ROW()-1))</f>
        <v>0.99421719999362757</v>
      </c>
      <c r="P19" s="180">
        <f>CORREL(INDEX(matrixseged!$B$2:$Y$7,,COLUMN()-1), INDEX(matrixseged!$B$2:$Y$7,,ROW()-1))</f>
        <v>0.97331192907296604</v>
      </c>
      <c r="Q19" s="180">
        <f>CORREL(INDEX(matrixseged!$B$2:$Y$7,,COLUMN()-1), INDEX(matrixseged!$B$2:$Y$7,,ROW()-1))</f>
        <v>0.97834693840012743</v>
      </c>
      <c r="R19" s="180">
        <f>CORREL(INDEX(matrixseged!$B$2:$Y$7,,COLUMN()-1), INDEX(matrixseged!$B$2:$Y$7,,ROW()-1))</f>
        <v>-0.13499978695725875</v>
      </c>
      <c r="S19" s="181">
        <f>CORREL(INDEX(matrixseged!$B$2:$Y$7,,COLUMN()-1), INDEX(matrixseged!$B$2:$Y$7,,ROW()-1))</f>
        <v>1.0000000000000002</v>
      </c>
    </row>
    <row r="20" spans="1:19" x14ac:dyDescent="0.3"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</row>
    <row r="22" spans="1:19" ht="15" thickBot="1" x14ac:dyDescent="0.35"/>
    <row r="23" spans="1:19" ht="15" thickBot="1" x14ac:dyDescent="0.35">
      <c r="B23" s="14" t="s">
        <v>53</v>
      </c>
      <c r="C23" s="15" t="s">
        <v>55</v>
      </c>
      <c r="D23" s="16" t="s">
        <v>54</v>
      </c>
    </row>
    <row r="24" spans="1:19" ht="115.8" thickBot="1" x14ac:dyDescent="0.35">
      <c r="B24" s="6">
        <v>-1</v>
      </c>
      <c r="C24" s="13"/>
      <c r="D24" s="8" t="s">
        <v>59</v>
      </c>
    </row>
    <row r="25" spans="1:19" ht="43.8" thickBot="1" x14ac:dyDescent="0.35">
      <c r="B25" s="9">
        <v>0</v>
      </c>
      <c r="C25" s="10"/>
      <c r="D25" s="11" t="s">
        <v>56</v>
      </c>
    </row>
    <row r="26" spans="1:19" ht="101.4" thickBot="1" x14ac:dyDescent="0.35">
      <c r="B26" s="6">
        <v>1</v>
      </c>
      <c r="C26" s="7"/>
      <c r="D26" s="12" t="s">
        <v>57</v>
      </c>
    </row>
  </sheetData>
  <conditionalFormatting sqref="B2:S20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F7128"/>
        <color rgb="FFFFEB84"/>
        <color theme="9"/>
      </colorScale>
    </cfRule>
    <cfRule type="colorScale" priority="33">
      <colorScale>
        <cfvo type="min"/>
        <cfvo type="percentile" val="50"/>
        <cfvo type="max"/>
        <color rgb="FFF8696B"/>
        <color rgb="FFFFC000"/>
        <color rgb="FF63BE7B"/>
      </colorScale>
    </cfRule>
    <cfRule type="colorScale" priority="34">
      <colorScale>
        <cfvo type="min"/>
        <cfvo type="percentile" val="50"/>
        <cfvo type="max"/>
        <color rgb="FFFF6363"/>
        <color rgb="FFFFFF00"/>
        <color rgb="FF63BE7B"/>
      </colorScale>
    </cfRule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">
      <colorScale>
        <cfvo type="min"/>
        <cfvo type="max"/>
        <color rgb="FFFFC000"/>
        <color rgb="FF92D050"/>
      </colorScale>
    </cfRule>
    <cfRule type="colorScale" priority="37">
      <colorScale>
        <cfvo type="min"/>
        <cfvo type="max"/>
        <color rgb="FFFF7128"/>
        <color rgb="FFFFEF9C"/>
      </colorScale>
    </cfRule>
    <cfRule type="colorScale" priority="38">
      <colorScale>
        <cfvo type="min"/>
        <cfvo type="max"/>
        <color rgb="FFFF0000"/>
        <color theme="9" tint="-0.249977111117893"/>
      </colorScale>
    </cfRule>
  </conditionalFormatting>
  <conditionalFormatting sqref="C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F7128"/>
        <color rgb="FFFFEB84"/>
        <color theme="9"/>
      </colorScale>
    </cfRule>
    <cfRule type="colorScale" priority="4">
      <colorScale>
        <cfvo type="min"/>
        <cfvo type="percentile" val="50"/>
        <cfvo type="max"/>
        <color rgb="FFF8696B"/>
        <color rgb="FFFFC000"/>
        <color rgb="FF63BE7B"/>
      </colorScale>
    </cfRule>
    <cfRule type="colorScale" priority="5">
      <colorScale>
        <cfvo type="min"/>
        <cfvo type="percentile" val="50"/>
        <cfvo type="max"/>
        <color rgb="FFFF6363"/>
        <color rgb="FFFFFF00"/>
        <color rgb="FF63BE7B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min"/>
        <cfvo type="max"/>
        <color rgb="FFFFC000"/>
        <color rgb="FF92D050"/>
      </colorScale>
    </cfRule>
    <cfRule type="colorScale" priority="8">
      <colorScale>
        <cfvo type="min"/>
        <cfvo type="max"/>
        <color rgb="FFFF7128"/>
        <color rgb="FFFFEF9C"/>
      </colorScale>
    </cfRule>
    <cfRule type="colorScale" priority="9">
      <colorScale>
        <cfvo type="min"/>
        <cfvo type="max"/>
        <color rgb="FFFF0000"/>
        <color theme="9" tint="-0.249977111117893"/>
      </colorScale>
    </cfRule>
  </conditionalFormatting>
  <conditionalFormatting sqref="F32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zoomScale="43" zoomScaleNormal="61" workbookViewId="0"/>
  </sheetViews>
  <sheetFormatPr defaultRowHeight="14.4" x14ac:dyDescent="0.3"/>
  <cols>
    <col min="1" max="1" width="32.88671875" bestFit="1" customWidth="1"/>
    <col min="2" max="2" width="22.6640625" customWidth="1"/>
    <col min="3" max="3" width="23.6640625" bestFit="1" customWidth="1"/>
    <col min="4" max="4" width="32.44140625" customWidth="1"/>
    <col min="5" max="5" width="24" bestFit="1" customWidth="1"/>
    <col min="6" max="6" width="27.33203125" customWidth="1"/>
    <col min="7" max="7" width="40.88671875" customWidth="1"/>
    <col min="8" max="8" width="24.44140625" customWidth="1"/>
    <col min="9" max="9" width="33.33203125" customWidth="1"/>
    <col min="10" max="10" width="26.33203125" customWidth="1"/>
    <col min="11" max="11" width="28.44140625" customWidth="1"/>
    <col min="12" max="12" width="25.109375" customWidth="1"/>
    <col min="13" max="13" width="19.109375" bestFit="1" customWidth="1"/>
  </cols>
  <sheetData>
    <row r="1" spans="1:12" ht="18" x14ac:dyDescent="0.35">
      <c r="A1" s="40" t="s">
        <v>0</v>
      </c>
      <c r="B1" s="41" t="s">
        <v>13</v>
      </c>
      <c r="C1" s="41" t="s">
        <v>14</v>
      </c>
      <c r="D1" s="41" t="s">
        <v>15</v>
      </c>
      <c r="E1" s="41" t="s">
        <v>16</v>
      </c>
      <c r="F1" s="41" t="s">
        <v>17</v>
      </c>
      <c r="G1" s="41" t="s">
        <v>18</v>
      </c>
      <c r="H1" s="41" t="s">
        <v>1</v>
      </c>
      <c r="I1" s="41" t="s">
        <v>3</v>
      </c>
      <c r="J1" s="41" t="s">
        <v>4</v>
      </c>
      <c r="K1" s="41" t="s">
        <v>5</v>
      </c>
      <c r="L1" s="41" t="s">
        <v>6</v>
      </c>
    </row>
    <row r="2" spans="1:12" x14ac:dyDescent="0.3">
      <c r="A2" s="17" t="s">
        <v>7</v>
      </c>
      <c r="B2" s="17">
        <v>93030</v>
      </c>
      <c r="C2" s="17">
        <v>30000</v>
      </c>
      <c r="D2" s="17">
        <v>20000</v>
      </c>
      <c r="E2" s="17">
        <v>8000</v>
      </c>
      <c r="F2" s="17">
        <v>6000</v>
      </c>
      <c r="G2" s="17">
        <v>4000</v>
      </c>
      <c r="H2" s="17">
        <v>25030</v>
      </c>
      <c r="I2" s="17">
        <v>4603</v>
      </c>
      <c r="J2" s="17">
        <v>31</v>
      </c>
      <c r="K2" s="17">
        <v>2574</v>
      </c>
      <c r="L2" s="17">
        <v>1178</v>
      </c>
    </row>
    <row r="3" spans="1:12" x14ac:dyDescent="0.3">
      <c r="A3" s="17" t="s">
        <v>8</v>
      </c>
      <c r="B3" s="17">
        <v>83879</v>
      </c>
      <c r="C3" s="17">
        <v>20000</v>
      </c>
      <c r="D3" s="17">
        <v>15000</v>
      </c>
      <c r="E3" s="17">
        <v>6000</v>
      </c>
      <c r="F3" s="17">
        <v>4000</v>
      </c>
      <c r="G3" s="17">
        <v>2000</v>
      </c>
      <c r="H3" s="17">
        <v>36879</v>
      </c>
      <c r="I3" s="17">
        <v>51978</v>
      </c>
      <c r="J3" s="17">
        <v>44</v>
      </c>
      <c r="K3" s="17">
        <v>74188</v>
      </c>
      <c r="L3" s="17">
        <v>2074</v>
      </c>
    </row>
    <row r="4" spans="1:12" x14ac:dyDescent="0.3">
      <c r="A4" s="17" t="s">
        <v>9</v>
      </c>
      <c r="B4" s="17">
        <v>238397</v>
      </c>
      <c r="C4" s="17">
        <v>70000</v>
      </c>
      <c r="D4" s="17">
        <v>30000</v>
      </c>
      <c r="E4" s="17">
        <v>10000</v>
      </c>
      <c r="F4" s="17">
        <v>8000</v>
      </c>
      <c r="G4" s="17">
        <v>4000</v>
      </c>
      <c r="H4" s="17">
        <v>116397</v>
      </c>
      <c r="I4" s="17">
        <v>14710</v>
      </c>
      <c r="J4" s="17">
        <v>21</v>
      </c>
      <c r="K4" s="17">
        <v>6019</v>
      </c>
      <c r="L4" s="17">
        <v>2970</v>
      </c>
    </row>
    <row r="5" spans="1:12" x14ac:dyDescent="0.3">
      <c r="A5" s="17" t="s">
        <v>10</v>
      </c>
      <c r="B5" s="17">
        <v>49035</v>
      </c>
      <c r="C5" s="17">
        <v>15000</v>
      </c>
      <c r="D5" s="17">
        <v>10000</v>
      </c>
      <c r="E5" s="17">
        <v>4000</v>
      </c>
      <c r="F5" s="17">
        <v>3000</v>
      </c>
      <c r="G5" s="17">
        <v>2000</v>
      </c>
      <c r="H5" s="17">
        <v>15035</v>
      </c>
      <c r="I5" s="17">
        <v>858</v>
      </c>
      <c r="J5" s="17">
        <v>5</v>
      </c>
      <c r="K5" s="17">
        <v>62</v>
      </c>
      <c r="L5" s="17">
        <v>38</v>
      </c>
    </row>
    <row r="6" spans="1:12" x14ac:dyDescent="0.3">
      <c r="A6" s="17" t="s">
        <v>11</v>
      </c>
      <c r="B6" s="17">
        <v>20273</v>
      </c>
      <c r="C6" s="17">
        <v>6000</v>
      </c>
      <c r="D6" s="17">
        <v>4000</v>
      </c>
      <c r="E6" s="17">
        <v>2000</v>
      </c>
      <c r="F6" s="17">
        <v>1000</v>
      </c>
      <c r="G6" s="17">
        <v>1000</v>
      </c>
      <c r="H6" s="17">
        <v>6273</v>
      </c>
      <c r="I6" s="17">
        <v>5763</v>
      </c>
      <c r="J6" s="17">
        <v>64</v>
      </c>
      <c r="K6" s="17">
        <v>5018</v>
      </c>
      <c r="L6" s="17">
        <v>436</v>
      </c>
    </row>
    <row r="7" spans="1:12" x14ac:dyDescent="0.3">
      <c r="A7" s="17" t="s">
        <v>12</v>
      </c>
      <c r="B7" s="17">
        <v>357386</v>
      </c>
      <c r="C7" s="17">
        <v>100000</v>
      </c>
      <c r="D7" s="17">
        <v>80000</v>
      </c>
      <c r="E7" s="17">
        <v>30000</v>
      </c>
      <c r="F7" s="17">
        <v>20000</v>
      </c>
      <c r="G7" s="17">
        <v>10000</v>
      </c>
      <c r="H7" s="17">
        <v>117386</v>
      </c>
      <c r="I7" s="17">
        <v>694000</v>
      </c>
      <c r="J7" s="17">
        <v>289</v>
      </c>
      <c r="K7" s="17">
        <v>325000</v>
      </c>
      <c r="L7" s="17">
        <v>21600</v>
      </c>
    </row>
    <row r="10" spans="1:12" ht="16.95" customHeight="1" x14ac:dyDescent="0.3"/>
  </sheetData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zoomScale="16" zoomScaleNormal="10" workbookViewId="0"/>
  </sheetViews>
  <sheetFormatPr defaultRowHeight="14.4" x14ac:dyDescent="0.3"/>
  <cols>
    <col min="1" max="1" width="29.33203125" bestFit="1" customWidth="1"/>
    <col min="2" max="2" width="21.6640625" bestFit="1" customWidth="1"/>
    <col min="3" max="3" width="29" customWidth="1"/>
    <col min="4" max="4" width="34.6640625" bestFit="1" customWidth="1"/>
    <col min="5" max="5" width="28.5546875" customWidth="1"/>
    <col min="6" max="6" width="34.6640625" bestFit="1" customWidth="1"/>
    <col min="7" max="7" width="43.6640625" bestFit="1" customWidth="1"/>
    <col min="8" max="8" width="23" bestFit="1" customWidth="1"/>
    <col min="9" max="9" width="37.109375" customWidth="1"/>
    <col min="10" max="10" width="38.88671875" customWidth="1"/>
    <col min="11" max="11" width="31.6640625" customWidth="1"/>
    <col min="12" max="12" width="34.5546875" bestFit="1" customWidth="1"/>
    <col min="13" max="13" width="47.44140625" bestFit="1" customWidth="1"/>
    <col min="14" max="14" width="50" bestFit="1" customWidth="1"/>
    <col min="15" max="15" width="46.6640625" bestFit="1" customWidth="1"/>
    <col min="16" max="16" width="22.5546875" bestFit="1" customWidth="1"/>
    <col min="17" max="18" width="28" bestFit="1" customWidth="1"/>
    <col min="19" max="19" width="9.6640625" bestFit="1" customWidth="1"/>
    <col min="21" max="21" width="15.88671875" bestFit="1" customWidth="1"/>
  </cols>
  <sheetData>
    <row r="1" spans="1:18" ht="18" x14ac:dyDescent="0.35">
      <c r="A1" s="40" t="str">
        <f>'Országok mutatói'!A1</f>
        <v>Ország</v>
      </c>
      <c r="B1" s="41" t="s">
        <v>13</v>
      </c>
      <c r="C1" s="41" t="s">
        <v>193</v>
      </c>
      <c r="D1" s="41" t="s">
        <v>192</v>
      </c>
      <c r="E1" s="41" t="s">
        <v>191</v>
      </c>
      <c r="F1" s="41" t="s">
        <v>190</v>
      </c>
      <c r="G1" s="41" t="s">
        <v>189</v>
      </c>
      <c r="H1" s="41" t="s">
        <v>1</v>
      </c>
      <c r="I1" s="41" t="s">
        <v>2</v>
      </c>
      <c r="J1" s="41" t="s">
        <v>20</v>
      </c>
      <c r="K1" s="41" t="s">
        <v>19</v>
      </c>
      <c r="L1" s="41" t="s">
        <v>21</v>
      </c>
      <c r="M1" s="41" t="s">
        <v>22</v>
      </c>
      <c r="N1" s="41" t="s">
        <v>23</v>
      </c>
      <c r="O1" s="42" t="s">
        <v>26</v>
      </c>
    </row>
    <row r="2" spans="1:18" x14ac:dyDescent="0.3">
      <c r="A2" s="17" t="str">
        <f>'Országok mutatói'!A2</f>
        <v>Magyarország</v>
      </c>
      <c r="B2" s="17">
        <f>'Országok mutatói'!B2/'Országok mutatói'!$B2</f>
        <v>1</v>
      </c>
      <c r="C2" s="144">
        <f>'Országok mutatói'!C2/'Országok mutatói'!$B2</f>
        <v>0.32247662044501774</v>
      </c>
      <c r="D2" s="144">
        <f>'Országok mutatói'!D2/'Országok mutatói'!$B2</f>
        <v>0.21498441363001183</v>
      </c>
      <c r="E2" s="144">
        <f>'Országok mutatói'!E2/'Országok mutatói'!$B2</f>
        <v>8.5993765452004725E-2</v>
      </c>
      <c r="F2" s="144">
        <f>'Országok mutatói'!F2/'Országok mutatói'!$B2</f>
        <v>6.4495324089003547E-2</v>
      </c>
      <c r="G2" s="144">
        <f>'Országok mutatói'!G2/'Országok mutatói'!$B2</f>
        <v>4.2996882726002363E-2</v>
      </c>
      <c r="H2" s="157">
        <f>'Országok mutatói'!H2/'Országok mutatói'!$H2</f>
        <v>1</v>
      </c>
      <c r="I2" s="144">
        <f>'Országok mutatói'!H2/'Országok mutatói'!B2</f>
        <v>0.26905299365795982</v>
      </c>
      <c r="J2" s="144">
        <f>'Országok mutatói'!K2/'Országok mutatói'!I2</f>
        <v>0.5592005213990876</v>
      </c>
      <c r="K2" s="144">
        <f>'Országok mutatói'!L2/'Országok mutatói'!I2</f>
        <v>0.25592005213990876</v>
      </c>
      <c r="L2" s="156">
        <f>('Országok mutatói'!L2 + 'Országok mutatói'!K2) / 'Országok mutatói'!I2</f>
        <v>0.81512057353899625</v>
      </c>
      <c r="M2" s="156">
        <f>('Országok mutatói'!J2 /'Országok mutatói'!I2)</f>
        <v>6.7347382142081249E-3</v>
      </c>
      <c r="N2" s="156">
        <f>('Országok mutatói'!L2 / 'Országok mutatói'!K2)</f>
        <v>0.45765345765345766</v>
      </c>
      <c r="O2" s="144">
        <f>'Országok mutatói'!H2/'Országok mutatói'!K2</f>
        <v>9.7241647241647247</v>
      </c>
    </row>
    <row r="3" spans="1:18" x14ac:dyDescent="0.3">
      <c r="A3" s="17" t="str">
        <f>'Országok mutatói'!A3</f>
        <v>Ausztria</v>
      </c>
      <c r="B3" s="17">
        <f>'Országok mutatói'!B3/'Országok mutatói'!$B3</f>
        <v>1</v>
      </c>
      <c r="C3" s="144">
        <f>'Országok mutatói'!C3/'Országok mutatói'!$B3</f>
        <v>0.23843870337033107</v>
      </c>
      <c r="D3" s="144">
        <f>'Országok mutatói'!D3/'Országok mutatói'!$B3</f>
        <v>0.17882902752774829</v>
      </c>
      <c r="E3" s="144">
        <f>'Országok mutatói'!E3/'Országok mutatói'!$B3</f>
        <v>7.1531611011099325E-2</v>
      </c>
      <c r="F3" s="144">
        <f>'Országok mutatói'!F3/'Országok mutatói'!$B3</f>
        <v>4.7687740674066212E-2</v>
      </c>
      <c r="G3" s="144">
        <f>'Országok mutatói'!G3/'Országok mutatói'!$B3</f>
        <v>2.3843870337033106E-2</v>
      </c>
      <c r="H3" s="157">
        <f>'Országok mutatói'!H3/'Országok mutatói'!$H3</f>
        <v>1</v>
      </c>
      <c r="I3" s="144">
        <f>'Országok mutatói'!H3/'Országok mutatói'!B3</f>
        <v>0.43966904707972199</v>
      </c>
      <c r="J3" s="144">
        <f>'Országok mutatói'!K3/'Országok mutatói'!I3</f>
        <v>1.4272961637615915</v>
      </c>
      <c r="K3" s="144">
        <f>'Országok mutatói'!L3/'Országok mutatói'!I3</f>
        <v>3.9901496787102232E-2</v>
      </c>
      <c r="L3" s="156">
        <f>('Országok mutatói'!L3 + 'Országok mutatói'!K3) / 'Országok mutatói'!I3</f>
        <v>1.4671976605486936</v>
      </c>
      <c r="M3" s="156">
        <f>('Országok mutatói'!J3 /'Országok mutatói'!I3)</f>
        <v>8.4651198584016318E-4</v>
      </c>
      <c r="N3" s="156">
        <f>('Országok mutatói'!L3 / 'Országok mutatói'!K3)</f>
        <v>2.7956003666361137E-2</v>
      </c>
      <c r="O3" s="144">
        <f>'Országok mutatói'!H3/'Országok mutatói'!K3</f>
        <v>0.49710195718984201</v>
      </c>
    </row>
    <row r="4" spans="1:18" x14ac:dyDescent="0.3">
      <c r="A4" s="17" t="str">
        <f>'Országok mutatói'!A4</f>
        <v>Románia</v>
      </c>
      <c r="B4" s="17">
        <f>'Országok mutatói'!B4/'Országok mutatói'!$B4</f>
        <v>1</v>
      </c>
      <c r="C4" s="144">
        <f>'Országok mutatói'!C4/'Országok mutatói'!$B4</f>
        <v>0.29362785605523561</v>
      </c>
      <c r="D4" s="144">
        <f>'Országok mutatói'!D4/'Országok mutatói'!$B4</f>
        <v>0.1258405097379581</v>
      </c>
      <c r="E4" s="144">
        <f>'Országok mutatói'!E4/'Országok mutatói'!$B4</f>
        <v>4.1946836579319371E-2</v>
      </c>
      <c r="F4" s="144">
        <f>'Országok mutatói'!F4/'Országok mutatói'!$B4</f>
        <v>3.35574692634555E-2</v>
      </c>
      <c r="G4" s="144">
        <f>'Országok mutatói'!G4/'Országok mutatói'!$B4</f>
        <v>1.677873463172775E-2</v>
      </c>
      <c r="H4" s="157">
        <f>'Országok mutatói'!H4/'Országok mutatói'!$H4</f>
        <v>1</v>
      </c>
      <c r="I4" s="144">
        <f>'Országok mutatói'!H4/'Országok mutatói'!B4</f>
        <v>0.48824859373230367</v>
      </c>
      <c r="J4" s="144">
        <f>'Országok mutatói'!K4/'Országok mutatói'!I4</f>
        <v>0.40917743031951054</v>
      </c>
      <c r="K4" s="144">
        <f>'Országok mutatói'!L4/'Országok mutatói'!I4</f>
        <v>0.20190346702923181</v>
      </c>
      <c r="L4" s="156">
        <f>('Országok mutatói'!L4 + 'Országok mutatói'!K4) / 'Országok mutatói'!I4</f>
        <v>0.61108089734874238</v>
      </c>
      <c r="M4" s="156">
        <f>('Országok mutatói'!J4 /'Országok mutatói'!I4)</f>
        <v>1.4276002719238613E-3</v>
      </c>
      <c r="N4" s="156">
        <f>('Országok mutatói'!L4 / 'Országok mutatói'!K4)</f>
        <v>0.49343744808107659</v>
      </c>
      <c r="O4" s="144">
        <f>'Országok mutatói'!H4/'Országok mutatói'!K4</f>
        <v>19.338262169795648</v>
      </c>
    </row>
    <row r="5" spans="1:18" x14ac:dyDescent="0.3">
      <c r="A5" s="17" t="str">
        <f>'Országok mutatói'!A5</f>
        <v>Szlovákia</v>
      </c>
      <c r="B5" s="17">
        <f>'Országok mutatói'!B5/'Országok mutatói'!$B5</f>
        <v>1</v>
      </c>
      <c r="C5" s="144">
        <f>'Országok mutatói'!C5/'Országok mutatói'!$B5</f>
        <v>0.30590394616090549</v>
      </c>
      <c r="D5" s="144">
        <f>'Országok mutatói'!D5/'Országok mutatói'!$B5</f>
        <v>0.20393596410727033</v>
      </c>
      <c r="E5" s="144">
        <f>'Országok mutatói'!E5/'Országok mutatói'!$B5</f>
        <v>8.1574385642908129E-2</v>
      </c>
      <c r="F5" s="144">
        <f>'Országok mutatói'!F5/'Országok mutatói'!$B5</f>
        <v>6.1180789232181093E-2</v>
      </c>
      <c r="G5" s="144">
        <f>'Országok mutatói'!G5/'Országok mutatói'!$B5</f>
        <v>4.0787192821454064E-2</v>
      </c>
      <c r="H5" s="157">
        <f>'Országok mutatói'!H5/'Országok mutatói'!$H5</f>
        <v>1</v>
      </c>
      <c r="I5" s="144">
        <f>'Országok mutatói'!H5/'Országok mutatói'!B5</f>
        <v>0.30661772203528093</v>
      </c>
      <c r="J5" s="144">
        <f>'Országok mutatói'!K5/'Országok mutatói'!I5</f>
        <v>7.2261072261072257E-2</v>
      </c>
      <c r="K5" s="144">
        <f>'Országok mutatói'!L5/'Országok mutatói'!I5</f>
        <v>4.4289044289044288E-2</v>
      </c>
      <c r="L5" s="156">
        <f>('Országok mutatói'!L5 + 'Országok mutatói'!K5) / 'Országok mutatói'!I5</f>
        <v>0.11655011655011654</v>
      </c>
      <c r="M5" s="156">
        <f>('Országok mutatói'!J5 /'Országok mutatói'!I5)</f>
        <v>5.8275058275058279E-3</v>
      </c>
      <c r="N5" s="156">
        <f>('Országok mutatói'!L5 / 'Országok mutatói'!K5)</f>
        <v>0.61290322580645162</v>
      </c>
      <c r="O5" s="144">
        <f>'Országok mutatói'!H5/'Országok mutatói'!K5</f>
        <v>242.5</v>
      </c>
    </row>
    <row r="6" spans="1:18" x14ac:dyDescent="0.3">
      <c r="A6" s="17" t="str">
        <f>'Országok mutatói'!A6</f>
        <v>Szlovénia</v>
      </c>
      <c r="B6" s="17">
        <f>'Országok mutatói'!B6/'Országok mutatói'!$B6</f>
        <v>1</v>
      </c>
      <c r="C6" s="144">
        <f>'Országok mutatói'!C6/'Országok mutatói'!$B6</f>
        <v>0.29596014403393678</v>
      </c>
      <c r="D6" s="144">
        <f>'Országok mutatói'!D6/'Országok mutatói'!$B6</f>
        <v>0.19730676268929118</v>
      </c>
      <c r="E6" s="144">
        <f>'Országok mutatói'!E6/'Országok mutatói'!$B6</f>
        <v>9.8653381344645588E-2</v>
      </c>
      <c r="F6" s="144">
        <f>'Országok mutatói'!F6/'Országok mutatói'!$B6</f>
        <v>4.9326690672322794E-2</v>
      </c>
      <c r="G6" s="144">
        <f>'Országok mutatói'!G6/'Országok mutatói'!$B6</f>
        <v>4.9326690672322794E-2</v>
      </c>
      <c r="H6" s="157">
        <f>'Országok mutatói'!H6/'Országok mutatói'!$H6</f>
        <v>1</v>
      </c>
      <c r="I6" s="144">
        <f>'Országok mutatói'!H6/'Országok mutatói'!B6</f>
        <v>0.30942633058748087</v>
      </c>
      <c r="J6" s="144">
        <f>'Országok mutatói'!K6/'Országok mutatói'!I6</f>
        <v>0.87072705188269994</v>
      </c>
      <c r="K6" s="144">
        <f>'Országok mutatói'!L6/'Országok mutatói'!I6</f>
        <v>7.5655040777372895E-2</v>
      </c>
      <c r="L6" s="156">
        <f>('Országok mutatói'!L6 + 'Országok mutatói'!K6) / 'Országok mutatói'!I6</f>
        <v>0.94638209266007289</v>
      </c>
      <c r="M6" s="156">
        <f>('Országok mutatói'!J6 /'Országok mutatói'!I6)</f>
        <v>1.1105327086586847E-2</v>
      </c>
      <c r="N6" s="156">
        <f>('Országok mutatói'!L6 / 'Országok mutatói'!K6)</f>
        <v>8.6887206058190516E-2</v>
      </c>
      <c r="O6" s="144">
        <f>'Országok mutatói'!H6/'Országok mutatói'!K6</f>
        <v>1.2500996412913512</v>
      </c>
    </row>
    <row r="7" spans="1:18" x14ac:dyDescent="0.3">
      <c r="A7" s="17" t="str">
        <f>'Országok mutatói'!A7</f>
        <v>Németország</v>
      </c>
      <c r="B7" s="17">
        <f>'Országok mutatói'!B7/'Országok mutatói'!$B7</f>
        <v>1</v>
      </c>
      <c r="C7" s="144">
        <f>'Országok mutatói'!C7/'Országok mutatói'!$B7</f>
        <v>0.27980950568852725</v>
      </c>
      <c r="D7" s="144">
        <f>'Országok mutatói'!D7/'Országok mutatói'!$B7</f>
        <v>0.22384760455082181</v>
      </c>
      <c r="E7" s="144">
        <f>'Országok mutatói'!E7/'Országok mutatói'!$B7</f>
        <v>8.3942851706558172E-2</v>
      </c>
      <c r="F7" s="144">
        <f>'Országok mutatói'!F7/'Országok mutatói'!$B7</f>
        <v>5.5961901137705453E-2</v>
      </c>
      <c r="G7" s="144">
        <f>'Országok mutatói'!G7/'Országok mutatói'!$B7</f>
        <v>2.7980950568852726E-2</v>
      </c>
      <c r="H7" s="157">
        <f>'Országok mutatói'!H7/'Országok mutatói'!$H7</f>
        <v>1</v>
      </c>
      <c r="I7" s="144">
        <f>'Országok mutatói'!H7/'Országok mutatói'!B7</f>
        <v>0.32845718634753462</v>
      </c>
      <c r="J7" s="144">
        <f>'Országok mutatói'!K7/'Országok mutatói'!I7</f>
        <v>0.46829971181556196</v>
      </c>
      <c r="K7" s="144">
        <f>'Országok mutatói'!L7/'Országok mutatói'!I7</f>
        <v>3.112391930835735E-2</v>
      </c>
      <c r="L7" s="156">
        <f>('Országok mutatói'!L7 + 'Országok mutatói'!K7) / 'Országok mutatói'!I7</f>
        <v>0.4994236311239193</v>
      </c>
      <c r="M7" s="156">
        <f>('Országok mutatói'!J7 /'Országok mutatói'!I7)</f>
        <v>4.1642651296829969E-4</v>
      </c>
      <c r="N7" s="156">
        <f>('Országok mutatói'!L7 / 'Országok mutatói'!K7)</f>
        <v>6.6461538461538461E-2</v>
      </c>
      <c r="O7" s="144">
        <f>'Országok mutatói'!H7/'Országok mutatói'!K7</f>
        <v>0.36118769230769232</v>
      </c>
    </row>
    <row r="9" spans="1:18" x14ac:dyDescent="0.3">
      <c r="A9" s="142" t="s">
        <v>188</v>
      </c>
      <c r="B9" s="142"/>
      <c r="C9" s="142">
        <v>0</v>
      </c>
      <c r="D9" s="142">
        <v>0</v>
      </c>
      <c r="E9" s="142">
        <v>0</v>
      </c>
      <c r="F9" s="142">
        <v>0</v>
      </c>
      <c r="G9" s="142">
        <v>0</v>
      </c>
      <c r="H9" s="142"/>
      <c r="I9" s="142">
        <v>1</v>
      </c>
      <c r="J9" s="142">
        <v>1</v>
      </c>
      <c r="K9" s="142">
        <v>0</v>
      </c>
      <c r="L9" s="142">
        <v>1</v>
      </c>
      <c r="M9" s="142">
        <v>1</v>
      </c>
      <c r="N9" s="142">
        <v>0</v>
      </c>
      <c r="O9" s="142">
        <v>1</v>
      </c>
    </row>
    <row r="10" spans="1:18" ht="83.4" customHeight="1" x14ac:dyDescent="0.3">
      <c r="A10" s="142" t="s">
        <v>183</v>
      </c>
      <c r="B10" s="143"/>
      <c r="C10" s="143" t="s">
        <v>194</v>
      </c>
      <c r="D10" s="143" t="s">
        <v>198</v>
      </c>
      <c r="E10" s="143" t="s">
        <v>199</v>
      </c>
      <c r="F10" s="143" t="s">
        <v>195</v>
      </c>
      <c r="G10" s="143" t="s">
        <v>196</v>
      </c>
      <c r="H10" s="143"/>
      <c r="I10" s="143" t="s">
        <v>186</v>
      </c>
      <c r="J10" s="143" t="s">
        <v>219</v>
      </c>
      <c r="K10" s="143" t="s">
        <v>220</v>
      </c>
      <c r="L10" s="143" t="s">
        <v>200</v>
      </c>
      <c r="M10" s="143" t="s">
        <v>201</v>
      </c>
      <c r="N10" s="143" t="s">
        <v>197</v>
      </c>
      <c r="O10" s="143" t="s">
        <v>187</v>
      </c>
    </row>
    <row r="11" spans="1:18" ht="15" thickBot="1" x14ac:dyDescent="0.35"/>
    <row r="12" spans="1:18" ht="18" x14ac:dyDescent="0.3">
      <c r="B12" s="169"/>
      <c r="C12" s="170" t="s">
        <v>185</v>
      </c>
      <c r="D12" s="170" t="s">
        <v>185</v>
      </c>
      <c r="E12" s="170" t="s">
        <v>185</v>
      </c>
      <c r="F12" s="170" t="s">
        <v>185</v>
      </c>
      <c r="G12" s="170" t="s">
        <v>185</v>
      </c>
      <c r="H12" s="170"/>
      <c r="I12" s="170" t="s">
        <v>185</v>
      </c>
      <c r="J12" s="170" t="s">
        <v>185</v>
      </c>
      <c r="K12" s="170" t="s">
        <v>185</v>
      </c>
      <c r="L12" s="170" t="s">
        <v>185</v>
      </c>
      <c r="M12" s="170" t="s">
        <v>185</v>
      </c>
      <c r="N12" s="170" t="s">
        <v>185</v>
      </c>
      <c r="O12" s="170" t="s">
        <v>185</v>
      </c>
      <c r="P12" s="170" t="s">
        <v>184</v>
      </c>
      <c r="Q12" s="170"/>
      <c r="R12" s="171"/>
    </row>
    <row r="13" spans="1:18" ht="18" x14ac:dyDescent="0.3">
      <c r="B13" s="172" t="str">
        <f t="shared" ref="B13:B19" si="0">A1</f>
        <v>Ország</v>
      </c>
      <c r="C13" s="173" t="str">
        <f>C1</f>
        <v>Tiltott légtér aránya (%)</v>
      </c>
      <c r="D13" s="173" t="str">
        <f>D1</f>
        <v>Korlátozott légterek aránya (%)</v>
      </c>
      <c r="E13" s="173" t="str">
        <f t="shared" ref="E13:O13" si="1">E1</f>
        <v>Katonai zónák aránya (%)</v>
      </c>
      <c r="F13" s="173" t="str">
        <f>F1</f>
        <v>Repülőtér zónák aránya (%)</v>
      </c>
      <c r="G13" s="173" t="str">
        <f t="shared" si="1"/>
        <v>Természetvédelmi területek aránya (%)</v>
      </c>
      <c r="H13" s="173"/>
      <c r="I13" s="173" t="str">
        <f t="shared" si="1"/>
        <v>Szabad terület aránya (%)</v>
      </c>
      <c r="J13" s="173" t="str">
        <f t="shared" si="1"/>
        <v>A1/A3 tanusítvány arány (%)</v>
      </c>
      <c r="K13" s="173" t="str">
        <f t="shared" si="1"/>
        <v>A2 tanusítvány arány (%)</v>
      </c>
      <c r="L13" s="173" t="str">
        <f t="shared" si="1"/>
        <v>Tanusítvány/Üzemeltető arány</v>
      </c>
      <c r="M13" s="173" t="str">
        <f t="shared" si="1"/>
        <v xml:space="preserve">Operatív engedély /Üzemeltető arány (%)  </v>
      </c>
      <c r="N13" s="173" t="str">
        <f t="shared" si="1"/>
        <v>A2 tanusítvány / A1-A3 tanusítvány arány (%)</v>
      </c>
      <c r="O13" s="173" t="str">
        <f t="shared" si="1"/>
        <v>Szabad terület / A1-A3 pilóta (km2/pilóta)</v>
      </c>
      <c r="P13" s="173" t="s">
        <v>221</v>
      </c>
      <c r="Q13" s="173" t="str">
        <f>P22</f>
        <v>OAM szint</v>
      </c>
      <c r="R13" s="174" t="str">
        <f>Q22</f>
        <v>Jelleg , besorolás</v>
      </c>
    </row>
    <row r="14" spans="1:18" x14ac:dyDescent="0.3">
      <c r="B14" s="154" t="str">
        <f t="shared" si="0"/>
        <v>Magyarország</v>
      </c>
      <c r="C14" s="166">
        <f t="shared" ref="C14:O19" si="2">RANK(C2,C$2:C$7,C$9)</f>
        <v>1</v>
      </c>
      <c r="D14" s="166">
        <f t="shared" si="2"/>
        <v>2</v>
      </c>
      <c r="E14" s="166">
        <f t="shared" si="2"/>
        <v>2</v>
      </c>
      <c r="F14" s="166">
        <f t="shared" si="2"/>
        <v>1</v>
      </c>
      <c r="G14" s="166">
        <f t="shared" si="2"/>
        <v>2</v>
      </c>
      <c r="H14" s="166"/>
      <c r="I14" s="166">
        <f t="shared" si="2"/>
        <v>1</v>
      </c>
      <c r="J14" s="166">
        <f t="shared" si="2"/>
        <v>4</v>
      </c>
      <c r="K14" s="166">
        <f t="shared" si="2"/>
        <v>1</v>
      </c>
      <c r="L14" s="166">
        <f t="shared" si="2"/>
        <v>4</v>
      </c>
      <c r="M14" s="166">
        <f t="shared" si="2"/>
        <v>5</v>
      </c>
      <c r="N14" s="166">
        <f t="shared" si="2"/>
        <v>3</v>
      </c>
      <c r="O14" s="166">
        <f t="shared" si="2"/>
        <v>4</v>
      </c>
      <c r="P14" s="175">
        <f>SUM(C14:O14)</f>
        <v>30</v>
      </c>
      <c r="Q14" s="165" t="str">
        <f>IF(P14&lt;=34,$P$23,IF(P14&lt;=44,$P$24,IF(P14&lt;=54,$P$25,$P$26)))</f>
        <v>OAM-1</v>
      </c>
      <c r="R14" s="176" t="str">
        <f>IF(P14&lt;=34,$Q$23,IF(P14&lt;=44,$Q$24,IF(P14&lt;=54,$Q$25,$Q$26)))</f>
        <v>Nyitott, kedvező környezet</v>
      </c>
    </row>
    <row r="15" spans="1:18" x14ac:dyDescent="0.3">
      <c r="B15" s="154" t="str">
        <f t="shared" si="0"/>
        <v>Ausztria</v>
      </c>
      <c r="C15" s="166">
        <f t="shared" ref="C15" si="3">RANK(C3,C$2:C$7,C$9)</f>
        <v>6</v>
      </c>
      <c r="D15" s="166">
        <f t="shared" si="2"/>
        <v>5</v>
      </c>
      <c r="E15" s="166">
        <f t="shared" si="2"/>
        <v>5</v>
      </c>
      <c r="F15" s="166">
        <f t="shared" si="2"/>
        <v>5</v>
      </c>
      <c r="G15" s="166">
        <f t="shared" si="2"/>
        <v>5</v>
      </c>
      <c r="H15" s="166"/>
      <c r="I15" s="166">
        <f t="shared" si="2"/>
        <v>5</v>
      </c>
      <c r="J15" s="166">
        <f t="shared" si="2"/>
        <v>6</v>
      </c>
      <c r="K15" s="166">
        <f t="shared" si="2"/>
        <v>5</v>
      </c>
      <c r="L15" s="166">
        <f t="shared" si="2"/>
        <v>6</v>
      </c>
      <c r="M15" s="166">
        <f t="shared" si="2"/>
        <v>2</v>
      </c>
      <c r="N15" s="166">
        <f t="shared" si="2"/>
        <v>6</v>
      </c>
      <c r="O15" s="166">
        <f t="shared" si="2"/>
        <v>2</v>
      </c>
      <c r="P15" s="175">
        <f t="shared" ref="P15:P19" si="4">SUM(C15:O15)</f>
        <v>58</v>
      </c>
      <c r="Q15" s="165" t="str">
        <f t="shared" ref="Q15:Q19" si="5">IF(P15&lt;=34,$P$23,IF(P15&lt;=44,$P$24,IF(P15&lt;=54,$P$25,$P$26)))</f>
        <v>OAM-4</v>
      </c>
      <c r="R15" s="176" t="str">
        <f t="shared" ref="R15:R19" si="6">IF(P15&lt;=34,$Q$23,IF(P15&lt;=44,$Q$24,IF(P15&lt;=54,$Q$25,$Q$26)))</f>
        <v>Erősen szabályzott, szigorú</v>
      </c>
    </row>
    <row r="16" spans="1:18" x14ac:dyDescent="0.3">
      <c r="B16" s="154" t="str">
        <f t="shared" si="0"/>
        <v>Románia</v>
      </c>
      <c r="C16" s="166">
        <f t="shared" ref="C16" si="7">RANK(C4,C$2:C$7,C$9)</f>
        <v>4</v>
      </c>
      <c r="D16" s="166">
        <f t="shared" si="2"/>
        <v>6</v>
      </c>
      <c r="E16" s="166">
        <f t="shared" si="2"/>
        <v>6</v>
      </c>
      <c r="F16" s="166">
        <f t="shared" si="2"/>
        <v>6</v>
      </c>
      <c r="G16" s="166">
        <f t="shared" si="2"/>
        <v>6</v>
      </c>
      <c r="H16" s="166"/>
      <c r="I16" s="166">
        <f t="shared" si="2"/>
        <v>6</v>
      </c>
      <c r="J16" s="166">
        <f t="shared" si="2"/>
        <v>2</v>
      </c>
      <c r="K16" s="166">
        <f t="shared" si="2"/>
        <v>2</v>
      </c>
      <c r="L16" s="166">
        <f t="shared" si="2"/>
        <v>3</v>
      </c>
      <c r="M16" s="166">
        <f t="shared" si="2"/>
        <v>3</v>
      </c>
      <c r="N16" s="166">
        <f t="shared" si="2"/>
        <v>2</v>
      </c>
      <c r="O16" s="166">
        <f t="shared" si="2"/>
        <v>5</v>
      </c>
      <c r="P16" s="175">
        <f t="shared" si="4"/>
        <v>51</v>
      </c>
      <c r="Q16" s="165" t="str">
        <f t="shared" si="5"/>
        <v>OAM-3</v>
      </c>
      <c r="R16" s="176" t="str">
        <f t="shared" si="6"/>
        <v>Korlátozó</v>
      </c>
    </row>
    <row r="17" spans="2:18" x14ac:dyDescent="0.3">
      <c r="B17" s="154" t="str">
        <f t="shared" si="0"/>
        <v>Szlovákia</v>
      </c>
      <c r="C17" s="166">
        <f t="shared" ref="C17" si="8">RANK(C5,C$2:C$7,C$9)</f>
        <v>2</v>
      </c>
      <c r="D17" s="166">
        <f t="shared" si="2"/>
        <v>3</v>
      </c>
      <c r="E17" s="166">
        <f t="shared" si="2"/>
        <v>4</v>
      </c>
      <c r="F17" s="166">
        <f t="shared" si="2"/>
        <v>2</v>
      </c>
      <c r="G17" s="166">
        <f t="shared" si="2"/>
        <v>3</v>
      </c>
      <c r="H17" s="166"/>
      <c r="I17" s="166">
        <f t="shared" si="2"/>
        <v>2</v>
      </c>
      <c r="J17" s="166">
        <f t="shared" si="2"/>
        <v>1</v>
      </c>
      <c r="K17" s="166">
        <f t="shared" si="2"/>
        <v>4</v>
      </c>
      <c r="L17" s="166">
        <f t="shared" si="2"/>
        <v>1</v>
      </c>
      <c r="M17" s="166">
        <f t="shared" si="2"/>
        <v>4</v>
      </c>
      <c r="N17" s="166">
        <f t="shared" si="2"/>
        <v>1</v>
      </c>
      <c r="O17" s="166">
        <f t="shared" si="2"/>
        <v>6</v>
      </c>
      <c r="P17" s="175">
        <f t="shared" si="4"/>
        <v>33</v>
      </c>
      <c r="Q17" s="165" t="str">
        <f t="shared" si="5"/>
        <v>OAM-1</v>
      </c>
      <c r="R17" s="176" t="str">
        <f t="shared" si="6"/>
        <v>Nyitott, kedvező környezet</v>
      </c>
    </row>
    <row r="18" spans="2:18" x14ac:dyDescent="0.3">
      <c r="B18" s="154" t="str">
        <f t="shared" si="0"/>
        <v>Szlovénia</v>
      </c>
      <c r="C18" s="166">
        <f t="shared" ref="C18" si="9">RANK(C6,C$2:C$7,C$9)</f>
        <v>3</v>
      </c>
      <c r="D18" s="166">
        <f t="shared" si="2"/>
        <v>4</v>
      </c>
      <c r="E18" s="166">
        <f t="shared" si="2"/>
        <v>1</v>
      </c>
      <c r="F18" s="166">
        <f t="shared" si="2"/>
        <v>4</v>
      </c>
      <c r="G18" s="166">
        <f t="shared" si="2"/>
        <v>1</v>
      </c>
      <c r="H18" s="166"/>
      <c r="I18" s="166">
        <f t="shared" si="2"/>
        <v>3</v>
      </c>
      <c r="J18" s="166">
        <f t="shared" si="2"/>
        <v>5</v>
      </c>
      <c r="K18" s="166">
        <f t="shared" si="2"/>
        <v>3</v>
      </c>
      <c r="L18" s="166">
        <f t="shared" si="2"/>
        <v>5</v>
      </c>
      <c r="M18" s="166">
        <f t="shared" si="2"/>
        <v>6</v>
      </c>
      <c r="N18" s="166">
        <f t="shared" si="2"/>
        <v>4</v>
      </c>
      <c r="O18" s="166">
        <f t="shared" si="2"/>
        <v>3</v>
      </c>
      <c r="P18" s="175">
        <f t="shared" si="4"/>
        <v>42</v>
      </c>
      <c r="Q18" s="165" t="str">
        <f t="shared" si="5"/>
        <v>OAM-2</v>
      </c>
      <c r="R18" s="176" t="str">
        <f t="shared" si="6"/>
        <v>Mérsékelten korlátozott</v>
      </c>
    </row>
    <row r="19" spans="2:18" ht="15" thickBot="1" x14ac:dyDescent="0.35">
      <c r="B19" s="155" t="str">
        <f t="shared" si="0"/>
        <v>Németország</v>
      </c>
      <c r="C19" s="167">
        <f t="shared" ref="C19" si="10">RANK(C7,C$2:C$7,C$9)</f>
        <v>5</v>
      </c>
      <c r="D19" s="167">
        <f t="shared" si="2"/>
        <v>1</v>
      </c>
      <c r="E19" s="167">
        <f t="shared" si="2"/>
        <v>3</v>
      </c>
      <c r="F19" s="167">
        <f t="shared" si="2"/>
        <v>3</v>
      </c>
      <c r="G19" s="167">
        <f t="shared" si="2"/>
        <v>4</v>
      </c>
      <c r="H19" s="167"/>
      <c r="I19" s="167">
        <f t="shared" si="2"/>
        <v>4</v>
      </c>
      <c r="J19" s="167">
        <f t="shared" si="2"/>
        <v>3</v>
      </c>
      <c r="K19" s="167">
        <f t="shared" si="2"/>
        <v>6</v>
      </c>
      <c r="L19" s="167">
        <f t="shared" si="2"/>
        <v>2</v>
      </c>
      <c r="M19" s="167">
        <f t="shared" si="2"/>
        <v>1</v>
      </c>
      <c r="N19" s="167">
        <f t="shared" si="2"/>
        <v>5</v>
      </c>
      <c r="O19" s="167">
        <f t="shared" si="2"/>
        <v>1</v>
      </c>
      <c r="P19" s="177">
        <f t="shared" si="4"/>
        <v>38</v>
      </c>
      <c r="Q19" s="168" t="str">
        <f t="shared" si="5"/>
        <v>OAM-2</v>
      </c>
      <c r="R19" s="178" t="str">
        <f t="shared" si="6"/>
        <v>Mérsékelten korlátozott</v>
      </c>
    </row>
    <row r="20" spans="2:18" ht="15" thickBot="1" x14ac:dyDescent="0.35"/>
    <row r="21" spans="2:18" ht="18.600000000000001" thickBot="1" x14ac:dyDescent="0.4">
      <c r="O21" s="204" t="s">
        <v>217</v>
      </c>
      <c r="P21" s="205"/>
      <c r="Q21" s="206"/>
    </row>
    <row r="22" spans="2:18" ht="18" x14ac:dyDescent="0.35">
      <c r="O22" s="64" t="s">
        <v>202</v>
      </c>
      <c r="P22" s="65" t="s">
        <v>205</v>
      </c>
      <c r="Q22" s="66" t="s">
        <v>206</v>
      </c>
    </row>
    <row r="23" spans="2:18" x14ac:dyDescent="0.3">
      <c r="O23" s="159" t="s">
        <v>203</v>
      </c>
      <c r="P23" s="158" t="s">
        <v>211</v>
      </c>
      <c r="Q23" s="160" t="s">
        <v>207</v>
      </c>
    </row>
    <row r="24" spans="2:18" x14ac:dyDescent="0.3">
      <c r="O24" s="161" t="s">
        <v>204</v>
      </c>
      <c r="P24" s="158" t="s">
        <v>212</v>
      </c>
      <c r="Q24" s="160" t="s">
        <v>208</v>
      </c>
    </row>
    <row r="25" spans="2:18" x14ac:dyDescent="0.3">
      <c r="O25" s="161" t="s">
        <v>215</v>
      </c>
      <c r="P25" s="158" t="s">
        <v>213</v>
      </c>
      <c r="Q25" s="160" t="s">
        <v>209</v>
      </c>
    </row>
    <row r="26" spans="2:18" ht="15" thickBot="1" x14ac:dyDescent="0.35">
      <c r="O26" s="162" t="s">
        <v>216</v>
      </c>
      <c r="P26" s="163" t="s">
        <v>214</v>
      </c>
      <c r="Q26" s="164" t="s">
        <v>210</v>
      </c>
    </row>
  </sheetData>
  <mergeCells count="1">
    <mergeCell ref="O21:Q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2A1B-7128-477E-BE01-64C08A6E46D4}">
  <dimension ref="A1:T26"/>
  <sheetViews>
    <sheetView zoomScale="22" zoomScaleNormal="84" workbookViewId="0"/>
  </sheetViews>
  <sheetFormatPr defaultRowHeight="14.4" x14ac:dyDescent="0.3"/>
  <cols>
    <col min="1" max="1" width="29.33203125" bestFit="1" customWidth="1"/>
    <col min="2" max="2" width="21.6640625" bestFit="1" customWidth="1"/>
    <col min="3" max="3" width="29" customWidth="1"/>
    <col min="4" max="4" width="34.6640625" bestFit="1" customWidth="1"/>
    <col min="5" max="5" width="28.5546875" customWidth="1"/>
    <col min="6" max="6" width="34.6640625" bestFit="1" customWidth="1"/>
    <col min="7" max="7" width="43.6640625" bestFit="1" customWidth="1"/>
    <col min="8" max="8" width="23" bestFit="1" customWidth="1"/>
    <col min="9" max="9" width="37.109375" customWidth="1"/>
    <col min="10" max="10" width="38.88671875" customWidth="1"/>
    <col min="11" max="11" width="31.6640625" customWidth="1"/>
    <col min="12" max="12" width="34.5546875" bestFit="1" customWidth="1"/>
    <col min="13" max="13" width="47.44140625" bestFit="1" customWidth="1"/>
    <col min="14" max="14" width="50" bestFit="1" customWidth="1"/>
    <col min="15" max="15" width="46.6640625" bestFit="1" customWidth="1"/>
    <col min="16" max="16" width="22.5546875" bestFit="1" customWidth="1"/>
    <col min="17" max="18" width="28" bestFit="1" customWidth="1"/>
    <col min="19" max="19" width="25.33203125" bestFit="1" customWidth="1"/>
    <col min="20" max="20" width="13.44140625" bestFit="1" customWidth="1"/>
    <col min="21" max="21" width="15.88671875" bestFit="1" customWidth="1"/>
  </cols>
  <sheetData>
    <row r="1" spans="1:20" ht="18" x14ac:dyDescent="0.35">
      <c r="A1" s="40" t="str">
        <f>'Országok mutatói'!A1</f>
        <v>Ország</v>
      </c>
      <c r="B1" s="41" t="s">
        <v>13</v>
      </c>
      <c r="C1" s="41" t="s">
        <v>193</v>
      </c>
      <c r="D1" s="41" t="s">
        <v>192</v>
      </c>
      <c r="E1" s="41" t="s">
        <v>191</v>
      </c>
      <c r="F1" s="41" t="s">
        <v>190</v>
      </c>
      <c r="G1" s="41" t="s">
        <v>189</v>
      </c>
      <c r="H1" s="41" t="s">
        <v>1</v>
      </c>
      <c r="I1" s="41" t="s">
        <v>2</v>
      </c>
      <c r="J1" s="41" t="s">
        <v>20</v>
      </c>
      <c r="K1" s="41" t="s">
        <v>19</v>
      </c>
      <c r="L1" s="41" t="s">
        <v>21</v>
      </c>
      <c r="M1" s="41" t="s">
        <v>22</v>
      </c>
      <c r="N1" s="41" t="s">
        <v>23</v>
      </c>
      <c r="O1" s="42" t="s">
        <v>26</v>
      </c>
    </row>
    <row r="2" spans="1:20" x14ac:dyDescent="0.3">
      <c r="A2" s="17" t="str">
        <f>'Országok mutatói'!A2</f>
        <v>Magyarország</v>
      </c>
      <c r="B2" s="17">
        <f>'Országok mutatói'!B2/'Országok mutatói'!$B2</f>
        <v>1</v>
      </c>
      <c r="C2" s="144">
        <f>'Országok mutatói'!C2/'Országok mutatói'!$B2</f>
        <v>0.32247662044501774</v>
      </c>
      <c r="D2" s="144">
        <f>'Országok mutatói'!D2/'Országok mutatói'!$B2</f>
        <v>0.21498441363001183</v>
      </c>
      <c r="E2" s="144">
        <f>'Országok mutatói'!E2/'Országok mutatói'!$B2</f>
        <v>8.5993765452004725E-2</v>
      </c>
      <c r="F2" s="144">
        <f>'Országok mutatói'!F2/'Országok mutatói'!$B2</f>
        <v>6.4495324089003547E-2</v>
      </c>
      <c r="G2" s="144">
        <f>'Országok mutatói'!G2/'Országok mutatói'!$B2</f>
        <v>4.2996882726002363E-2</v>
      </c>
      <c r="H2" s="157">
        <f>'Országok mutatói'!H2/'Országok mutatói'!$H2</f>
        <v>1</v>
      </c>
      <c r="I2" s="144">
        <f>'Országok mutatói'!H2/'Országok mutatói'!B2</f>
        <v>0.26905299365795982</v>
      </c>
      <c r="J2" s="144">
        <f>'Országok mutatói'!K2/'Országok mutatói'!I2</f>
        <v>0.5592005213990876</v>
      </c>
      <c r="K2" s="144">
        <f>'Országok mutatói'!L2/'Országok mutatói'!I2</f>
        <v>0.25592005213990876</v>
      </c>
      <c r="L2" s="156">
        <f>('Országok mutatói'!L2 + 'Országok mutatói'!K2) / 'Országok mutatói'!I2</f>
        <v>0.81512057353899625</v>
      </c>
      <c r="M2" s="156">
        <f>('Országok mutatói'!J2 /'Országok mutatói'!I2)</f>
        <v>6.7347382142081249E-3</v>
      </c>
      <c r="N2" s="156">
        <f>('Országok mutatói'!L2 / 'Országok mutatói'!K2)</f>
        <v>0.45765345765345766</v>
      </c>
      <c r="O2" s="144">
        <f>'Országok mutatói'!H2/'Országok mutatói'!K2</f>
        <v>9.7241647241647247</v>
      </c>
    </row>
    <row r="3" spans="1:20" x14ac:dyDescent="0.3">
      <c r="A3" s="17" t="str">
        <f>'Országok mutatói'!A3</f>
        <v>Ausztria</v>
      </c>
      <c r="B3" s="17">
        <f>'Országok mutatói'!B3/'Országok mutatói'!$B3</f>
        <v>1</v>
      </c>
      <c r="C3" s="144">
        <f>'Országok mutatói'!C3/'Országok mutatói'!$B3</f>
        <v>0.23843870337033107</v>
      </c>
      <c r="D3" s="144">
        <f>'Országok mutatói'!D3/'Országok mutatói'!$B3</f>
        <v>0.17882902752774829</v>
      </c>
      <c r="E3" s="144">
        <f>'Országok mutatói'!E3/'Országok mutatói'!$B3</f>
        <v>7.1531611011099325E-2</v>
      </c>
      <c r="F3" s="144">
        <f>'Országok mutatói'!F3/'Országok mutatói'!$B3</f>
        <v>4.7687740674066212E-2</v>
      </c>
      <c r="G3" s="144">
        <f>'Országok mutatói'!G3/'Országok mutatói'!$B3</f>
        <v>2.3843870337033106E-2</v>
      </c>
      <c r="H3" s="157">
        <f>'Országok mutatói'!H3/'Országok mutatói'!$H3</f>
        <v>1</v>
      </c>
      <c r="I3" s="144">
        <f>'Országok mutatói'!H3/'Országok mutatói'!B3</f>
        <v>0.43966904707972199</v>
      </c>
      <c r="J3" s="144">
        <f>'Országok mutatói'!K3/'Országok mutatói'!I3</f>
        <v>1.4272961637615915</v>
      </c>
      <c r="K3" s="144">
        <f>'Országok mutatói'!L3/'Országok mutatói'!I3</f>
        <v>3.9901496787102232E-2</v>
      </c>
      <c r="L3" s="156">
        <f>('Országok mutatói'!L3 + 'Országok mutatói'!K3) / 'Országok mutatói'!I3</f>
        <v>1.4671976605486936</v>
      </c>
      <c r="M3" s="156">
        <f>('Országok mutatói'!J3 /'Országok mutatói'!I3)</f>
        <v>8.4651198584016318E-4</v>
      </c>
      <c r="N3" s="156">
        <f>('Országok mutatói'!L3 / 'Országok mutatói'!K3)</f>
        <v>2.7956003666361137E-2</v>
      </c>
      <c r="O3" s="144">
        <f>'Országok mutatói'!H3/'Országok mutatói'!K3</f>
        <v>0.49710195718984201</v>
      </c>
    </row>
    <row r="4" spans="1:20" x14ac:dyDescent="0.3">
      <c r="A4" s="17" t="str">
        <f>'Országok mutatói'!A4</f>
        <v>Románia</v>
      </c>
      <c r="B4" s="17">
        <f>'Országok mutatói'!B4/'Országok mutatói'!$B4</f>
        <v>1</v>
      </c>
      <c r="C4" s="144">
        <f>'Országok mutatói'!C4/'Országok mutatói'!$B4</f>
        <v>0.29362785605523561</v>
      </c>
      <c r="D4" s="144">
        <f>'Országok mutatói'!D4/'Országok mutatói'!$B4</f>
        <v>0.1258405097379581</v>
      </c>
      <c r="E4" s="144">
        <f>'Országok mutatói'!E4/'Országok mutatói'!$B4</f>
        <v>4.1946836579319371E-2</v>
      </c>
      <c r="F4" s="144">
        <f>'Országok mutatói'!F4/'Országok mutatói'!$B4</f>
        <v>3.35574692634555E-2</v>
      </c>
      <c r="G4" s="144">
        <f>'Országok mutatói'!G4/'Országok mutatói'!$B4</f>
        <v>1.677873463172775E-2</v>
      </c>
      <c r="H4" s="157">
        <f>'Országok mutatói'!H4/'Országok mutatói'!$H4</f>
        <v>1</v>
      </c>
      <c r="I4" s="144">
        <f>'Országok mutatói'!H4/'Országok mutatói'!B4</f>
        <v>0.48824859373230367</v>
      </c>
      <c r="J4" s="144">
        <f>'Országok mutatói'!K4/'Országok mutatói'!I4</f>
        <v>0.40917743031951054</v>
      </c>
      <c r="K4" s="144">
        <f>'Országok mutatói'!L4/'Országok mutatói'!I4</f>
        <v>0.20190346702923181</v>
      </c>
      <c r="L4" s="156">
        <f>('Országok mutatói'!L4 + 'Országok mutatói'!K4) / 'Országok mutatói'!I4</f>
        <v>0.61108089734874238</v>
      </c>
      <c r="M4" s="156">
        <f>('Országok mutatói'!J4 /'Országok mutatói'!I4)</f>
        <v>1.4276002719238613E-3</v>
      </c>
      <c r="N4" s="156">
        <f>('Országok mutatói'!L4 / 'Országok mutatói'!K4)</f>
        <v>0.49343744808107659</v>
      </c>
      <c r="O4" s="144">
        <f>'Országok mutatói'!H4/'Országok mutatói'!K4</f>
        <v>19.338262169795648</v>
      </c>
    </row>
    <row r="5" spans="1:20" x14ac:dyDescent="0.3">
      <c r="A5" s="17" t="str">
        <f>'Országok mutatói'!A5</f>
        <v>Szlovákia</v>
      </c>
      <c r="B5" s="17">
        <f>'Országok mutatói'!B5/'Országok mutatói'!$B5</f>
        <v>1</v>
      </c>
      <c r="C5" s="144">
        <f>'Országok mutatói'!C5/'Országok mutatói'!$B5</f>
        <v>0.30590394616090549</v>
      </c>
      <c r="D5" s="144">
        <f>'Országok mutatói'!D5/'Országok mutatói'!$B5</f>
        <v>0.20393596410727033</v>
      </c>
      <c r="E5" s="144">
        <f>'Országok mutatói'!E5/'Országok mutatói'!$B5</f>
        <v>8.1574385642908129E-2</v>
      </c>
      <c r="F5" s="144">
        <f>'Országok mutatói'!F5/'Országok mutatói'!$B5</f>
        <v>6.1180789232181093E-2</v>
      </c>
      <c r="G5" s="144">
        <f>'Országok mutatói'!G5/'Országok mutatói'!$B5</f>
        <v>4.0787192821454064E-2</v>
      </c>
      <c r="H5" s="157">
        <f>'Országok mutatói'!H5/'Országok mutatói'!$H5</f>
        <v>1</v>
      </c>
      <c r="I5" s="144">
        <f>'Országok mutatói'!H5/'Országok mutatói'!B5</f>
        <v>0.30661772203528093</v>
      </c>
      <c r="J5" s="144">
        <f>'Országok mutatói'!K5/'Országok mutatói'!I5</f>
        <v>7.2261072261072257E-2</v>
      </c>
      <c r="K5" s="144">
        <f>'Országok mutatói'!L5/'Országok mutatói'!I5</f>
        <v>4.4289044289044288E-2</v>
      </c>
      <c r="L5" s="156">
        <f>('Országok mutatói'!L5 + 'Országok mutatói'!K5) / 'Országok mutatói'!I5</f>
        <v>0.11655011655011654</v>
      </c>
      <c r="M5" s="156">
        <f>('Országok mutatói'!J5 /'Országok mutatói'!I5)</f>
        <v>5.8275058275058279E-3</v>
      </c>
      <c r="N5" s="156">
        <f>('Országok mutatói'!L5 / 'Országok mutatói'!K5)</f>
        <v>0.61290322580645162</v>
      </c>
      <c r="O5" s="144">
        <f>'Országok mutatói'!H5/'Országok mutatói'!K5</f>
        <v>242.5</v>
      </c>
    </row>
    <row r="6" spans="1:20" x14ac:dyDescent="0.3">
      <c r="A6" s="17" t="str">
        <f>'Országok mutatói'!A6</f>
        <v>Szlovénia</v>
      </c>
      <c r="B6" s="17">
        <f>'Országok mutatói'!B6/'Országok mutatói'!$B6</f>
        <v>1</v>
      </c>
      <c r="C6" s="144">
        <f>'Országok mutatói'!C6/'Országok mutatói'!$B6</f>
        <v>0.29596014403393678</v>
      </c>
      <c r="D6" s="144">
        <f>'Országok mutatói'!D6/'Országok mutatói'!$B6</f>
        <v>0.19730676268929118</v>
      </c>
      <c r="E6" s="144">
        <f>'Országok mutatói'!E6/'Országok mutatói'!$B6</f>
        <v>9.8653381344645588E-2</v>
      </c>
      <c r="F6" s="144">
        <f>'Országok mutatói'!F6/'Országok mutatói'!$B6</f>
        <v>4.9326690672322794E-2</v>
      </c>
      <c r="G6" s="144">
        <f>'Országok mutatói'!G6/'Országok mutatói'!$B6</f>
        <v>4.9326690672322794E-2</v>
      </c>
      <c r="H6" s="157">
        <f>'Országok mutatói'!H6/'Országok mutatói'!$H6</f>
        <v>1</v>
      </c>
      <c r="I6" s="144">
        <f>'Országok mutatói'!H6/'Országok mutatói'!B6</f>
        <v>0.30942633058748087</v>
      </c>
      <c r="J6" s="144">
        <f>'Országok mutatói'!K6/'Országok mutatói'!I6</f>
        <v>0.87072705188269994</v>
      </c>
      <c r="K6" s="144">
        <f>'Országok mutatói'!L6/'Országok mutatói'!I6</f>
        <v>7.5655040777372895E-2</v>
      </c>
      <c r="L6" s="156">
        <f>('Országok mutatói'!L6 + 'Országok mutatói'!K6) / 'Országok mutatói'!I6</f>
        <v>0.94638209266007289</v>
      </c>
      <c r="M6" s="156">
        <f>('Országok mutatói'!J6 /'Országok mutatói'!I6)</f>
        <v>1.1105327086586847E-2</v>
      </c>
      <c r="N6" s="156">
        <f>('Országok mutatói'!L6 / 'Országok mutatói'!K6)</f>
        <v>8.6887206058190516E-2</v>
      </c>
      <c r="O6" s="144">
        <f>'Országok mutatói'!H6/'Országok mutatói'!K6</f>
        <v>1.2500996412913512</v>
      </c>
    </row>
    <row r="7" spans="1:20" x14ac:dyDescent="0.3">
      <c r="A7" s="17" t="str">
        <f>'Országok mutatói'!A7</f>
        <v>Németország</v>
      </c>
      <c r="B7" s="17">
        <f>'Országok mutatói'!B7/'Országok mutatói'!$B7</f>
        <v>1</v>
      </c>
      <c r="C7" s="144">
        <f>'Országok mutatói'!C7/'Országok mutatói'!$B7</f>
        <v>0.27980950568852725</v>
      </c>
      <c r="D7" s="144">
        <f>'Országok mutatói'!D7/'Országok mutatói'!$B7</f>
        <v>0.22384760455082181</v>
      </c>
      <c r="E7" s="144">
        <f>'Országok mutatói'!E7/'Országok mutatói'!$B7</f>
        <v>8.3942851706558172E-2</v>
      </c>
      <c r="F7" s="144">
        <f>'Országok mutatói'!F7/'Országok mutatói'!$B7</f>
        <v>5.5961901137705453E-2</v>
      </c>
      <c r="G7" s="144">
        <f>'Országok mutatói'!G7/'Országok mutatói'!$B7</f>
        <v>2.7980950568852726E-2</v>
      </c>
      <c r="H7" s="157">
        <f>'Országok mutatói'!H7/'Országok mutatói'!$H7</f>
        <v>1</v>
      </c>
      <c r="I7" s="144">
        <f>'Országok mutatói'!H7/'Országok mutatói'!B7</f>
        <v>0.32845718634753462</v>
      </c>
      <c r="J7" s="144">
        <f>'Országok mutatói'!K7/'Országok mutatói'!I7</f>
        <v>0.46829971181556196</v>
      </c>
      <c r="K7" s="144">
        <f>'Országok mutatói'!L7/'Országok mutatói'!I7</f>
        <v>3.112391930835735E-2</v>
      </c>
      <c r="L7" s="156">
        <f>('Országok mutatói'!L7 + 'Országok mutatói'!K7) / 'Országok mutatói'!I7</f>
        <v>0.4994236311239193</v>
      </c>
      <c r="M7" s="156">
        <f>('Országok mutatói'!J7 /'Országok mutatói'!I7)</f>
        <v>4.1642651296829969E-4</v>
      </c>
      <c r="N7" s="156">
        <f>('Országok mutatói'!L7 / 'Országok mutatói'!K7)</f>
        <v>6.6461538461538461E-2</v>
      </c>
      <c r="O7" s="144">
        <f>'Országok mutatói'!H7/'Országok mutatói'!K7</f>
        <v>0.36118769230769232</v>
      </c>
    </row>
    <row r="9" spans="1:20" x14ac:dyDescent="0.3">
      <c r="A9" s="142" t="s">
        <v>188</v>
      </c>
      <c r="B9" s="142"/>
      <c r="C9" s="142">
        <v>0</v>
      </c>
      <c r="D9" s="142">
        <v>0</v>
      </c>
      <c r="E9" s="142">
        <v>0</v>
      </c>
      <c r="F9" s="142">
        <v>0</v>
      </c>
      <c r="G9" s="142">
        <v>0</v>
      </c>
      <c r="H9" s="142"/>
      <c r="I9" s="142">
        <v>1</v>
      </c>
      <c r="J9" s="142">
        <v>1</v>
      </c>
      <c r="K9" s="142">
        <v>0</v>
      </c>
      <c r="L9" s="142">
        <v>1</v>
      </c>
      <c r="M9" s="142">
        <v>1</v>
      </c>
      <c r="N9" s="142">
        <v>0</v>
      </c>
      <c r="O9" s="142">
        <v>1</v>
      </c>
    </row>
    <row r="10" spans="1:20" ht="83.4" customHeight="1" x14ac:dyDescent="0.3">
      <c r="A10" s="142" t="s">
        <v>183</v>
      </c>
      <c r="B10" s="143"/>
      <c r="C10" s="143" t="s">
        <v>194</v>
      </c>
      <c r="D10" s="143" t="s">
        <v>198</v>
      </c>
      <c r="E10" s="143" t="s">
        <v>199</v>
      </c>
      <c r="F10" s="143" t="s">
        <v>195</v>
      </c>
      <c r="G10" s="143" t="s">
        <v>196</v>
      </c>
      <c r="H10" s="143"/>
      <c r="I10" s="143" t="s">
        <v>186</v>
      </c>
      <c r="J10" s="143" t="s">
        <v>219</v>
      </c>
      <c r="K10" s="143" t="s">
        <v>220</v>
      </c>
      <c r="L10" s="143" t="s">
        <v>200</v>
      </c>
      <c r="M10" s="143" t="s">
        <v>201</v>
      </c>
      <c r="N10" s="143" t="s">
        <v>197</v>
      </c>
      <c r="O10" s="143" t="s">
        <v>187</v>
      </c>
    </row>
    <row r="11" spans="1:20" ht="15" thickBot="1" x14ac:dyDescent="0.35"/>
    <row r="12" spans="1:20" ht="18" x14ac:dyDescent="0.3">
      <c r="B12" s="169"/>
      <c r="C12" s="170" t="s">
        <v>185</v>
      </c>
      <c r="D12" s="170" t="s">
        <v>185</v>
      </c>
      <c r="E12" s="170" t="s">
        <v>185</v>
      </c>
      <c r="F12" s="170" t="s">
        <v>185</v>
      </c>
      <c r="G12" s="170" t="s">
        <v>185</v>
      </c>
      <c r="H12" s="170"/>
      <c r="I12" s="170" t="s">
        <v>185</v>
      </c>
      <c r="J12" s="170" t="s">
        <v>185</v>
      </c>
      <c r="K12" s="170" t="s">
        <v>185</v>
      </c>
      <c r="L12" s="170" t="s">
        <v>185</v>
      </c>
      <c r="M12" s="170" t="s">
        <v>185</v>
      </c>
      <c r="N12" s="170" t="s">
        <v>185</v>
      </c>
      <c r="O12" s="170" t="s">
        <v>185</v>
      </c>
      <c r="P12" s="170" t="s">
        <v>184</v>
      </c>
      <c r="Q12" s="170"/>
      <c r="R12" s="171"/>
      <c r="S12" s="179">
        <f>CORREL(Q14:Q19,'Országok mutatói2'!P14:P19)</f>
        <v>-0.58439415249836912</v>
      </c>
    </row>
    <row r="13" spans="1:20" ht="18" x14ac:dyDescent="0.3">
      <c r="B13" s="172" t="str">
        <f t="shared" ref="B13:B19" si="0">A1</f>
        <v>Ország</v>
      </c>
      <c r="C13" s="173" t="str">
        <f>C1</f>
        <v>Tiltott légtér aránya (%)</v>
      </c>
      <c r="D13" s="173" t="str">
        <f>D1</f>
        <v>Korlátozott légterek aránya (%)</v>
      </c>
      <c r="E13" s="173" t="str">
        <f t="shared" ref="E13:O13" si="1">E1</f>
        <v>Katonai zónák aránya (%)</v>
      </c>
      <c r="F13" s="173" t="str">
        <f>F1</f>
        <v>Repülőtér zónák aránya (%)</v>
      </c>
      <c r="G13" s="173" t="str">
        <f t="shared" si="1"/>
        <v>Természetvédelmi területek aránya (%)</v>
      </c>
      <c r="H13" s="173"/>
      <c r="I13" s="173" t="str">
        <f t="shared" si="1"/>
        <v>Szabad terület aránya (%)</v>
      </c>
      <c r="J13" s="173" t="str">
        <f t="shared" si="1"/>
        <v>A1/A3 tanusítvány arány (%)</v>
      </c>
      <c r="K13" s="173" t="str">
        <f t="shared" si="1"/>
        <v>A2 tanusítvány arány (%)</v>
      </c>
      <c r="L13" s="173" t="str">
        <f t="shared" si="1"/>
        <v>Tanusítvány/Üzemeltető arány</v>
      </c>
      <c r="M13" s="173" t="str">
        <f t="shared" si="1"/>
        <v xml:space="preserve">Operatív engedély /Üzemeltető arány (%)  </v>
      </c>
      <c r="N13" s="173" t="str">
        <f t="shared" si="1"/>
        <v>A2 tanusítvány / A1-A3 tanusítvány arány (%)</v>
      </c>
      <c r="O13" s="173" t="str">
        <f t="shared" si="1"/>
        <v>Szabad terület / A1-A3 pilóta (km2/pilóta)</v>
      </c>
      <c r="P13" s="173" t="s">
        <v>222</v>
      </c>
      <c r="Q13" s="173" t="s">
        <v>223</v>
      </c>
      <c r="R13" s="174" t="str">
        <f>Q22</f>
        <v>Jelleg , besorolás</v>
      </c>
      <c r="S13" t="str">
        <f>'Országok mutatói2'!R13</f>
        <v>Jelleg , besorolás</v>
      </c>
      <c r="T13" t="str">
        <f>B13</f>
        <v>Ország</v>
      </c>
    </row>
    <row r="14" spans="1:20" x14ac:dyDescent="0.3">
      <c r="B14" s="154" t="str">
        <f t="shared" si="0"/>
        <v>Magyarország</v>
      </c>
      <c r="C14" s="166">
        <f t="shared" ref="C14:O19" si="2">RANK(C2,C$2:C$7,C$9)</f>
        <v>1</v>
      </c>
      <c r="D14" s="166">
        <f t="shared" si="2"/>
        <v>2</v>
      </c>
      <c r="E14" s="166">
        <f t="shared" si="2"/>
        <v>2</v>
      </c>
      <c r="F14" s="166">
        <f t="shared" si="2"/>
        <v>1</v>
      </c>
      <c r="G14" s="166">
        <f t="shared" si="2"/>
        <v>2</v>
      </c>
      <c r="H14" s="166"/>
      <c r="I14" s="166">
        <f t="shared" si="2"/>
        <v>1</v>
      </c>
      <c r="J14" s="166">
        <f t="shared" si="2"/>
        <v>4</v>
      </c>
      <c r="K14" s="166">
        <f t="shared" si="2"/>
        <v>1</v>
      </c>
      <c r="L14" s="166">
        <f t="shared" si="2"/>
        <v>4</v>
      </c>
      <c r="M14" s="166">
        <f t="shared" si="2"/>
        <v>5</v>
      </c>
      <c r="N14" s="166">
        <f t="shared" si="2"/>
        <v>3</v>
      </c>
      <c r="O14" s="166">
        <f t="shared" si="2"/>
        <v>4</v>
      </c>
      <c r="P14" s="175">
        <v>1000</v>
      </c>
      <c r="Q14" s="165">
        <f>Y0!S32</f>
        <v>1000</v>
      </c>
      <c r="R14" s="176" t="s">
        <v>305</v>
      </c>
      <c r="S14" t="str">
        <f>'Országok mutatói2'!R14</f>
        <v>Nyitott, kedvező környezet</v>
      </c>
      <c r="T14" t="str">
        <f t="shared" ref="T14:T19" si="3">B14</f>
        <v>Magyarország</v>
      </c>
    </row>
    <row r="15" spans="1:20" x14ac:dyDescent="0.3">
      <c r="B15" s="154" t="str">
        <f t="shared" si="0"/>
        <v>Ausztria</v>
      </c>
      <c r="C15" s="166">
        <f t="shared" si="2"/>
        <v>6</v>
      </c>
      <c r="D15" s="166">
        <f t="shared" si="2"/>
        <v>5</v>
      </c>
      <c r="E15" s="166">
        <f t="shared" si="2"/>
        <v>5</v>
      </c>
      <c r="F15" s="166">
        <f t="shared" si="2"/>
        <v>5</v>
      </c>
      <c r="G15" s="166">
        <f t="shared" si="2"/>
        <v>5</v>
      </c>
      <c r="H15" s="166"/>
      <c r="I15" s="166">
        <f t="shared" si="2"/>
        <v>5</v>
      </c>
      <c r="J15" s="166">
        <f t="shared" si="2"/>
        <v>6</v>
      </c>
      <c r="K15" s="166">
        <f t="shared" si="2"/>
        <v>5</v>
      </c>
      <c r="L15" s="166">
        <f t="shared" si="2"/>
        <v>6</v>
      </c>
      <c r="M15" s="166">
        <f t="shared" si="2"/>
        <v>2</v>
      </c>
      <c r="N15" s="166">
        <f t="shared" si="2"/>
        <v>6</v>
      </c>
      <c r="O15" s="166">
        <f t="shared" si="2"/>
        <v>2</v>
      </c>
      <c r="P15" s="175">
        <v>1000</v>
      </c>
      <c r="Q15" s="165">
        <f>Y0!S33</f>
        <v>995</v>
      </c>
      <c r="R15" s="176" t="s">
        <v>306</v>
      </c>
      <c r="S15" t="str">
        <f>'Országok mutatói2'!R15</f>
        <v>Erősen szabályzott, szigorú</v>
      </c>
      <c r="T15" t="str">
        <f t="shared" si="3"/>
        <v>Ausztria</v>
      </c>
    </row>
    <row r="16" spans="1:20" x14ac:dyDescent="0.3">
      <c r="B16" s="154" t="str">
        <f t="shared" si="0"/>
        <v>Románia</v>
      </c>
      <c r="C16" s="166">
        <f t="shared" si="2"/>
        <v>4</v>
      </c>
      <c r="D16" s="166">
        <f t="shared" si="2"/>
        <v>6</v>
      </c>
      <c r="E16" s="166">
        <f t="shared" si="2"/>
        <v>6</v>
      </c>
      <c r="F16" s="166">
        <f t="shared" si="2"/>
        <v>6</v>
      </c>
      <c r="G16" s="166">
        <f t="shared" si="2"/>
        <v>6</v>
      </c>
      <c r="H16" s="166"/>
      <c r="I16" s="166">
        <f t="shared" si="2"/>
        <v>6</v>
      </c>
      <c r="J16" s="166">
        <f t="shared" si="2"/>
        <v>2</v>
      </c>
      <c r="K16" s="166">
        <f t="shared" si="2"/>
        <v>2</v>
      </c>
      <c r="L16" s="166">
        <f t="shared" si="2"/>
        <v>3</v>
      </c>
      <c r="M16" s="166">
        <f t="shared" si="2"/>
        <v>3</v>
      </c>
      <c r="N16" s="166">
        <f t="shared" si="2"/>
        <v>2</v>
      </c>
      <c r="O16" s="166">
        <f t="shared" si="2"/>
        <v>5</v>
      </c>
      <c r="P16" s="175">
        <v>1000</v>
      </c>
      <c r="Q16" s="165">
        <f>Y0!S34</f>
        <v>1002</v>
      </c>
      <c r="R16" s="176" t="str">
        <f t="shared" ref="R16" si="4">IF(P16&lt;=34,$Q$23,IF(P16&lt;=44,$Q$24,IF(P16&lt;=54,$Q$25,$Q$26)))</f>
        <v>Erősen szabályzott, szigorú</v>
      </c>
      <c r="S16" t="str">
        <f>'Országok mutatói2'!R16</f>
        <v>Korlátozó</v>
      </c>
      <c r="T16" t="str">
        <f t="shared" si="3"/>
        <v>Románia</v>
      </c>
    </row>
    <row r="17" spans="2:20" x14ac:dyDescent="0.3">
      <c r="B17" s="154" t="str">
        <f t="shared" si="0"/>
        <v>Szlovákia</v>
      </c>
      <c r="C17" s="166">
        <f t="shared" si="2"/>
        <v>2</v>
      </c>
      <c r="D17" s="166">
        <f t="shared" si="2"/>
        <v>3</v>
      </c>
      <c r="E17" s="166">
        <f t="shared" si="2"/>
        <v>4</v>
      </c>
      <c r="F17" s="166">
        <f t="shared" si="2"/>
        <v>2</v>
      </c>
      <c r="G17" s="166">
        <f t="shared" si="2"/>
        <v>3</v>
      </c>
      <c r="H17" s="166"/>
      <c r="I17" s="166">
        <f t="shared" si="2"/>
        <v>2</v>
      </c>
      <c r="J17" s="166">
        <f t="shared" si="2"/>
        <v>1</v>
      </c>
      <c r="K17" s="166">
        <f t="shared" si="2"/>
        <v>4</v>
      </c>
      <c r="L17" s="166">
        <f t="shared" si="2"/>
        <v>1</v>
      </c>
      <c r="M17" s="166">
        <f t="shared" si="2"/>
        <v>4</v>
      </c>
      <c r="N17" s="166">
        <f t="shared" si="2"/>
        <v>1</v>
      </c>
      <c r="O17" s="166">
        <f t="shared" si="2"/>
        <v>6</v>
      </c>
      <c r="P17" s="175">
        <v>1000</v>
      </c>
      <c r="Q17" s="165">
        <f>Y0!S35</f>
        <v>1005</v>
      </c>
      <c r="R17" s="176" t="s">
        <v>304</v>
      </c>
      <c r="S17" t="str">
        <f>'Országok mutatói2'!R17</f>
        <v>Nyitott, kedvező környezet</v>
      </c>
      <c r="T17" t="str">
        <f t="shared" si="3"/>
        <v>Szlovákia</v>
      </c>
    </row>
    <row r="18" spans="2:20" x14ac:dyDescent="0.3">
      <c r="B18" s="154" t="str">
        <f t="shared" si="0"/>
        <v>Szlovénia</v>
      </c>
      <c r="C18" s="166">
        <f t="shared" si="2"/>
        <v>3</v>
      </c>
      <c r="D18" s="166">
        <f t="shared" si="2"/>
        <v>4</v>
      </c>
      <c r="E18" s="166">
        <f t="shared" si="2"/>
        <v>1</v>
      </c>
      <c r="F18" s="166">
        <f t="shared" si="2"/>
        <v>4</v>
      </c>
      <c r="G18" s="166">
        <f t="shared" si="2"/>
        <v>1</v>
      </c>
      <c r="H18" s="166"/>
      <c r="I18" s="166">
        <f t="shared" si="2"/>
        <v>3</v>
      </c>
      <c r="J18" s="166">
        <f t="shared" si="2"/>
        <v>5</v>
      </c>
      <c r="K18" s="166">
        <f t="shared" si="2"/>
        <v>3</v>
      </c>
      <c r="L18" s="166">
        <f t="shared" si="2"/>
        <v>5</v>
      </c>
      <c r="M18" s="166">
        <f t="shared" si="2"/>
        <v>6</v>
      </c>
      <c r="N18" s="166">
        <f t="shared" si="2"/>
        <v>4</v>
      </c>
      <c r="O18" s="166">
        <f t="shared" si="2"/>
        <v>3</v>
      </c>
      <c r="P18" s="175">
        <v>1000</v>
      </c>
      <c r="Q18" s="165">
        <f>Y0!S36</f>
        <v>998</v>
      </c>
      <c r="R18" s="176" t="s">
        <v>306</v>
      </c>
      <c r="S18" t="str">
        <f>'Országok mutatói2'!R18</f>
        <v>Mérsékelten korlátozott</v>
      </c>
      <c r="T18" t="str">
        <f t="shared" si="3"/>
        <v>Szlovénia</v>
      </c>
    </row>
    <row r="19" spans="2:20" ht="15" thickBot="1" x14ac:dyDescent="0.35">
      <c r="B19" s="155" t="str">
        <f t="shared" si="0"/>
        <v>Németország</v>
      </c>
      <c r="C19" s="167">
        <f t="shared" si="2"/>
        <v>5</v>
      </c>
      <c r="D19" s="167">
        <f t="shared" si="2"/>
        <v>1</v>
      </c>
      <c r="E19" s="167">
        <f t="shared" si="2"/>
        <v>3</v>
      </c>
      <c r="F19" s="167">
        <f t="shared" si="2"/>
        <v>3</v>
      </c>
      <c r="G19" s="167">
        <f t="shared" si="2"/>
        <v>4</v>
      </c>
      <c r="H19" s="167"/>
      <c r="I19" s="167">
        <f t="shared" si="2"/>
        <v>4</v>
      </c>
      <c r="J19" s="167">
        <f t="shared" si="2"/>
        <v>3</v>
      </c>
      <c r="K19" s="167">
        <f t="shared" si="2"/>
        <v>6</v>
      </c>
      <c r="L19" s="167">
        <f t="shared" si="2"/>
        <v>2</v>
      </c>
      <c r="M19" s="167">
        <f t="shared" si="2"/>
        <v>1</v>
      </c>
      <c r="N19" s="167">
        <f t="shared" si="2"/>
        <v>5</v>
      </c>
      <c r="O19" s="167">
        <f t="shared" si="2"/>
        <v>1</v>
      </c>
      <c r="P19" s="168">
        <v>1000</v>
      </c>
      <c r="Q19" s="168">
        <f>Y0!S37</f>
        <v>1000</v>
      </c>
      <c r="R19" s="178" t="s">
        <v>305</v>
      </c>
      <c r="S19" t="str">
        <f>'Országok mutatói2'!R19</f>
        <v>Mérsékelten korlátozott</v>
      </c>
      <c r="T19" t="str">
        <f t="shared" si="3"/>
        <v>Németország</v>
      </c>
    </row>
    <row r="20" spans="2:20" ht="15" thickBot="1" x14ac:dyDescent="0.35"/>
    <row r="21" spans="2:20" ht="18.600000000000001" thickBot="1" x14ac:dyDescent="0.4">
      <c r="O21" s="204" t="s">
        <v>217</v>
      </c>
      <c r="P21" s="205"/>
      <c r="Q21" s="206"/>
    </row>
    <row r="22" spans="2:20" ht="18" x14ac:dyDescent="0.35">
      <c r="O22" s="64" t="s">
        <v>202</v>
      </c>
      <c r="P22" s="65" t="s">
        <v>205</v>
      </c>
      <c r="Q22" s="66" t="s">
        <v>206</v>
      </c>
    </row>
    <row r="23" spans="2:20" x14ac:dyDescent="0.3">
      <c r="O23" s="159" t="s">
        <v>203</v>
      </c>
      <c r="P23" s="158" t="s">
        <v>211</v>
      </c>
      <c r="Q23" s="160" t="s">
        <v>207</v>
      </c>
    </row>
    <row r="24" spans="2:20" x14ac:dyDescent="0.3">
      <c r="O24" s="161" t="s">
        <v>204</v>
      </c>
      <c r="P24" s="158" t="s">
        <v>212</v>
      </c>
      <c r="Q24" s="160" t="s">
        <v>208</v>
      </c>
    </row>
    <row r="25" spans="2:20" x14ac:dyDescent="0.3">
      <c r="O25" s="161" t="s">
        <v>215</v>
      </c>
      <c r="P25" s="158" t="s">
        <v>213</v>
      </c>
      <c r="Q25" s="160" t="s">
        <v>209</v>
      </c>
    </row>
    <row r="26" spans="2:20" ht="15" thickBot="1" x14ac:dyDescent="0.35">
      <c r="O26" s="162" t="s">
        <v>216</v>
      </c>
      <c r="P26" s="163" t="s">
        <v>214</v>
      </c>
      <c r="Q26" s="164" t="s">
        <v>210</v>
      </c>
    </row>
  </sheetData>
  <mergeCells count="1">
    <mergeCell ref="O21:Q21"/>
  </mergeCells>
  <conditionalFormatting sqref="Q14:Q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2039-9D00-43E8-9B69-3FFB36287AA6}">
  <dimension ref="A1:AA51"/>
  <sheetViews>
    <sheetView tabSelected="1" zoomScale="48" workbookViewId="0"/>
  </sheetViews>
  <sheetFormatPr defaultRowHeight="14.4" x14ac:dyDescent="0.3"/>
  <cols>
    <col min="5" max="5" width="8.88671875" style="194"/>
    <col min="7" max="7" width="8.88671875" style="194"/>
  </cols>
  <sheetData>
    <row r="1" spans="1:27" ht="18" x14ac:dyDescent="0.3">
      <c r="A1" s="185"/>
      <c r="P1" s="185"/>
    </row>
    <row r="2" spans="1:27" x14ac:dyDescent="0.3">
      <c r="A2" s="62"/>
      <c r="P2" s="62"/>
    </row>
    <row r="5" spans="1:27" ht="18" x14ac:dyDescent="0.3">
      <c r="A5" s="186" t="s">
        <v>224</v>
      </c>
      <c r="B5" s="187">
        <v>9085433</v>
      </c>
      <c r="C5" s="186" t="s">
        <v>225</v>
      </c>
      <c r="D5" s="187">
        <v>6</v>
      </c>
      <c r="E5" s="195" t="s">
        <v>226</v>
      </c>
      <c r="F5" s="187">
        <v>7</v>
      </c>
      <c r="G5" s="195" t="s">
        <v>227</v>
      </c>
      <c r="H5" s="187">
        <v>6</v>
      </c>
      <c r="I5" s="186" t="s">
        <v>228</v>
      </c>
      <c r="J5" s="187">
        <v>0</v>
      </c>
      <c r="K5" s="186" t="s">
        <v>229</v>
      </c>
      <c r="L5" s="187" t="s">
        <v>230</v>
      </c>
      <c r="P5" s="186" t="s">
        <v>224</v>
      </c>
      <c r="Q5" s="187">
        <v>2469804</v>
      </c>
      <c r="R5" s="186" t="s">
        <v>225</v>
      </c>
      <c r="S5" s="187">
        <v>6</v>
      </c>
      <c r="T5" s="186" t="s">
        <v>226</v>
      </c>
      <c r="U5" s="187">
        <v>2</v>
      </c>
      <c r="V5" s="186" t="s">
        <v>227</v>
      </c>
      <c r="W5" s="187">
        <v>6</v>
      </c>
      <c r="X5" s="186" t="s">
        <v>228</v>
      </c>
      <c r="Y5" s="187">
        <v>0</v>
      </c>
      <c r="Z5" s="186" t="s">
        <v>229</v>
      </c>
      <c r="AA5" s="187" t="s">
        <v>288</v>
      </c>
    </row>
    <row r="6" spans="1:27" ht="18.600000000000001" thickBot="1" x14ac:dyDescent="0.35">
      <c r="A6" s="185"/>
      <c r="P6" s="185"/>
    </row>
    <row r="7" spans="1:27" ht="15" thickBot="1" x14ac:dyDescent="0.35">
      <c r="A7" s="188" t="s">
        <v>231</v>
      </c>
      <c r="B7" s="188" t="s">
        <v>232</v>
      </c>
      <c r="C7" s="188" t="s">
        <v>233</v>
      </c>
      <c r="D7" s="188" t="s">
        <v>234</v>
      </c>
      <c r="E7" s="196" t="s">
        <v>235</v>
      </c>
      <c r="F7" s="188" t="s">
        <v>236</v>
      </c>
      <c r="G7" s="196" t="s">
        <v>237</v>
      </c>
      <c r="H7" s="188" t="s">
        <v>238</v>
      </c>
      <c r="I7" s="188" t="s">
        <v>239</v>
      </c>
      <c r="K7" t="str">
        <f>E7</f>
        <v>X(A4)</v>
      </c>
      <c r="L7" t="str">
        <f>G7</f>
        <v>X(A6)</v>
      </c>
      <c r="M7" t="str">
        <f>I7</f>
        <v>Y(A8)</v>
      </c>
      <c r="P7" s="188" t="s">
        <v>231</v>
      </c>
      <c r="Q7" s="188" t="s">
        <v>232</v>
      </c>
      <c r="R7" s="188" t="s">
        <v>233</v>
      </c>
      <c r="S7" s="188" t="s">
        <v>289</v>
      </c>
    </row>
    <row r="8" spans="1:27" ht="15" thickBot="1" x14ac:dyDescent="0.35">
      <c r="A8" s="188" t="s">
        <v>240</v>
      </c>
      <c r="B8" s="189">
        <v>1</v>
      </c>
      <c r="C8" s="189">
        <v>4</v>
      </c>
      <c r="D8" s="189">
        <v>1</v>
      </c>
      <c r="E8" s="197">
        <v>4</v>
      </c>
      <c r="F8" s="189">
        <v>5</v>
      </c>
      <c r="G8" s="197">
        <v>3</v>
      </c>
      <c r="H8" s="189">
        <v>4</v>
      </c>
      <c r="I8" s="189">
        <v>1000</v>
      </c>
      <c r="K8">
        <f t="shared" ref="K8:K13" si="0">E8</f>
        <v>4</v>
      </c>
      <c r="L8">
        <f t="shared" ref="L8:L13" si="1">G8</f>
        <v>3</v>
      </c>
      <c r="M8">
        <f t="shared" ref="M8:M13" si="2">I8</f>
        <v>1000</v>
      </c>
      <c r="P8" s="188" t="s">
        <v>240</v>
      </c>
      <c r="Q8" s="189">
        <v>4</v>
      </c>
      <c r="R8" s="189">
        <v>3</v>
      </c>
      <c r="S8" s="189">
        <v>1000</v>
      </c>
    </row>
    <row r="9" spans="1:27" ht="15" thickBot="1" x14ac:dyDescent="0.35">
      <c r="A9" s="188" t="s">
        <v>241</v>
      </c>
      <c r="B9" s="189">
        <v>5</v>
      </c>
      <c r="C9" s="189">
        <v>6</v>
      </c>
      <c r="D9" s="189">
        <v>5</v>
      </c>
      <c r="E9" s="197">
        <v>6</v>
      </c>
      <c r="F9" s="189">
        <v>2</v>
      </c>
      <c r="G9" s="197">
        <v>6</v>
      </c>
      <c r="H9" s="189">
        <v>2</v>
      </c>
      <c r="I9" s="189">
        <v>1000</v>
      </c>
      <c r="K9">
        <f t="shared" si="0"/>
        <v>6</v>
      </c>
      <c r="L9">
        <f t="shared" si="1"/>
        <v>6</v>
      </c>
      <c r="M9">
        <f t="shared" si="2"/>
        <v>1000</v>
      </c>
      <c r="P9" s="188" t="s">
        <v>241</v>
      </c>
      <c r="Q9" s="189">
        <v>6</v>
      </c>
      <c r="R9" s="189">
        <v>6</v>
      </c>
      <c r="S9" s="189">
        <v>1000</v>
      </c>
    </row>
    <row r="10" spans="1:27" ht="15" thickBot="1" x14ac:dyDescent="0.35">
      <c r="A10" s="188" t="s">
        <v>242</v>
      </c>
      <c r="B10" s="189">
        <v>6</v>
      </c>
      <c r="C10" s="189">
        <v>2</v>
      </c>
      <c r="D10" s="189">
        <v>2</v>
      </c>
      <c r="E10" s="197">
        <v>3</v>
      </c>
      <c r="F10" s="189">
        <v>3</v>
      </c>
      <c r="G10" s="197">
        <v>2</v>
      </c>
      <c r="H10" s="189">
        <v>5</v>
      </c>
      <c r="I10" s="189">
        <v>1000</v>
      </c>
      <c r="K10">
        <f t="shared" si="0"/>
        <v>3</v>
      </c>
      <c r="L10">
        <f t="shared" si="1"/>
        <v>2</v>
      </c>
      <c r="M10">
        <f t="shared" si="2"/>
        <v>1000</v>
      </c>
      <c r="P10" s="188" t="s">
        <v>242</v>
      </c>
      <c r="Q10" s="189">
        <v>3</v>
      </c>
      <c r="R10" s="189">
        <v>2</v>
      </c>
      <c r="S10" s="189">
        <v>1000</v>
      </c>
    </row>
    <row r="11" spans="1:27" ht="15" thickBot="1" x14ac:dyDescent="0.35">
      <c r="A11" s="188" t="s">
        <v>243</v>
      </c>
      <c r="B11" s="189">
        <v>2</v>
      </c>
      <c r="C11" s="189">
        <v>1</v>
      </c>
      <c r="D11" s="189">
        <v>4</v>
      </c>
      <c r="E11" s="197">
        <v>1</v>
      </c>
      <c r="F11" s="189">
        <v>4</v>
      </c>
      <c r="G11" s="197">
        <v>1</v>
      </c>
      <c r="H11" s="189">
        <v>6</v>
      </c>
      <c r="I11" s="189">
        <v>1000</v>
      </c>
      <c r="K11">
        <f t="shared" si="0"/>
        <v>1</v>
      </c>
      <c r="L11">
        <f t="shared" si="1"/>
        <v>1</v>
      </c>
      <c r="M11">
        <f t="shared" si="2"/>
        <v>1000</v>
      </c>
      <c r="P11" s="188" t="s">
        <v>243</v>
      </c>
      <c r="Q11" s="189">
        <v>1</v>
      </c>
      <c r="R11" s="189">
        <v>1</v>
      </c>
      <c r="S11" s="189">
        <v>1000</v>
      </c>
    </row>
    <row r="12" spans="1:27" ht="15" thickBot="1" x14ac:dyDescent="0.35">
      <c r="A12" s="188" t="s">
        <v>244</v>
      </c>
      <c r="B12" s="189">
        <v>3</v>
      </c>
      <c r="C12" s="189">
        <v>5</v>
      </c>
      <c r="D12" s="189">
        <v>3</v>
      </c>
      <c r="E12" s="197">
        <v>5</v>
      </c>
      <c r="F12" s="189">
        <v>6</v>
      </c>
      <c r="G12" s="197">
        <v>4</v>
      </c>
      <c r="H12" s="189">
        <v>3</v>
      </c>
      <c r="I12" s="189">
        <v>1000</v>
      </c>
      <c r="K12">
        <f t="shared" si="0"/>
        <v>5</v>
      </c>
      <c r="L12">
        <f t="shared" si="1"/>
        <v>4</v>
      </c>
      <c r="M12">
        <f t="shared" si="2"/>
        <v>1000</v>
      </c>
      <c r="P12" s="188" t="s">
        <v>244</v>
      </c>
      <c r="Q12" s="189">
        <v>5</v>
      </c>
      <c r="R12" s="189">
        <v>4</v>
      </c>
      <c r="S12" s="189">
        <v>1000</v>
      </c>
    </row>
    <row r="13" spans="1:27" ht="15" thickBot="1" x14ac:dyDescent="0.35">
      <c r="A13" s="188" t="s">
        <v>245</v>
      </c>
      <c r="B13" s="189">
        <v>4</v>
      </c>
      <c r="C13" s="189">
        <v>3</v>
      </c>
      <c r="D13" s="189">
        <v>6</v>
      </c>
      <c r="E13" s="197">
        <v>2</v>
      </c>
      <c r="F13" s="189">
        <v>1</v>
      </c>
      <c r="G13" s="197">
        <v>5</v>
      </c>
      <c r="H13" s="189">
        <v>1</v>
      </c>
      <c r="I13" s="189">
        <v>1000</v>
      </c>
      <c r="K13">
        <f t="shared" si="0"/>
        <v>2</v>
      </c>
      <c r="L13">
        <f t="shared" si="1"/>
        <v>5</v>
      </c>
      <c r="M13">
        <f t="shared" si="2"/>
        <v>1000</v>
      </c>
      <c r="P13" s="188" t="s">
        <v>245</v>
      </c>
      <c r="Q13" s="189">
        <v>2</v>
      </c>
      <c r="R13" s="189">
        <v>5</v>
      </c>
      <c r="S13" s="189">
        <v>1000</v>
      </c>
    </row>
    <row r="14" spans="1:27" ht="18.600000000000001" thickBot="1" x14ac:dyDescent="0.35">
      <c r="A14" s="185"/>
      <c r="P14" s="185"/>
    </row>
    <row r="15" spans="1:27" ht="15" thickBot="1" x14ac:dyDescent="0.35">
      <c r="A15" s="188" t="s">
        <v>246</v>
      </c>
      <c r="B15" s="188" t="s">
        <v>232</v>
      </c>
      <c r="C15" s="188" t="s">
        <v>233</v>
      </c>
      <c r="D15" s="188" t="s">
        <v>234</v>
      </c>
      <c r="E15" s="196" t="s">
        <v>235</v>
      </c>
      <c r="F15" s="188" t="s">
        <v>236</v>
      </c>
      <c r="G15" s="196" t="s">
        <v>237</v>
      </c>
      <c r="H15" s="188" t="s">
        <v>238</v>
      </c>
      <c r="P15" s="188" t="s">
        <v>246</v>
      </c>
      <c r="Q15" s="188" t="s">
        <v>232</v>
      </c>
      <c r="R15" s="188" t="s">
        <v>233</v>
      </c>
    </row>
    <row r="16" spans="1:27" ht="15" thickBot="1" x14ac:dyDescent="0.35">
      <c r="A16" s="188" t="s">
        <v>247</v>
      </c>
      <c r="B16" s="189" t="s">
        <v>248</v>
      </c>
      <c r="C16" s="189" t="s">
        <v>249</v>
      </c>
      <c r="D16" s="189" t="s">
        <v>250</v>
      </c>
      <c r="E16" s="197" t="s">
        <v>251</v>
      </c>
      <c r="F16" s="189" t="s">
        <v>252</v>
      </c>
      <c r="G16" s="197" t="s">
        <v>251</v>
      </c>
      <c r="H16" s="189" t="s">
        <v>253</v>
      </c>
      <c r="P16" s="188" t="s">
        <v>247</v>
      </c>
      <c r="Q16" s="189" t="s">
        <v>290</v>
      </c>
      <c r="R16" s="189" t="s">
        <v>291</v>
      </c>
    </row>
    <row r="17" spans="1:22" ht="15" thickBot="1" x14ac:dyDescent="0.35">
      <c r="A17" s="188" t="s">
        <v>254</v>
      </c>
      <c r="B17" s="189" t="s">
        <v>255</v>
      </c>
      <c r="C17" s="189" t="s">
        <v>248</v>
      </c>
      <c r="D17" s="189" t="s">
        <v>256</v>
      </c>
      <c r="E17" s="197" t="s">
        <v>257</v>
      </c>
      <c r="F17" s="189" t="s">
        <v>258</v>
      </c>
      <c r="G17" s="197" t="s">
        <v>257</v>
      </c>
      <c r="H17" s="189" t="s">
        <v>259</v>
      </c>
      <c r="P17" s="188" t="s">
        <v>254</v>
      </c>
      <c r="Q17" s="189" t="s">
        <v>292</v>
      </c>
      <c r="R17" s="189" t="s">
        <v>293</v>
      </c>
    </row>
    <row r="18" spans="1:22" ht="15" thickBot="1" x14ac:dyDescent="0.35">
      <c r="A18" s="188" t="s">
        <v>260</v>
      </c>
      <c r="B18" s="189" t="s">
        <v>261</v>
      </c>
      <c r="C18" s="189" t="s">
        <v>262</v>
      </c>
      <c r="D18" s="189" t="s">
        <v>263</v>
      </c>
      <c r="E18" s="197" t="s">
        <v>262</v>
      </c>
      <c r="F18" s="189" t="s">
        <v>262</v>
      </c>
      <c r="G18" s="197" t="s">
        <v>262</v>
      </c>
      <c r="H18" s="189" t="s">
        <v>264</v>
      </c>
      <c r="P18" s="188" t="s">
        <v>260</v>
      </c>
      <c r="Q18" s="189" t="s">
        <v>294</v>
      </c>
      <c r="R18" s="189" t="s">
        <v>295</v>
      </c>
    </row>
    <row r="19" spans="1:22" ht="15" thickBot="1" x14ac:dyDescent="0.35">
      <c r="A19" s="188" t="s">
        <v>265</v>
      </c>
      <c r="B19" s="189" t="s">
        <v>266</v>
      </c>
      <c r="C19" s="189" t="s">
        <v>266</v>
      </c>
      <c r="D19" s="189" t="s">
        <v>253</v>
      </c>
      <c r="E19" s="197" t="s">
        <v>266</v>
      </c>
      <c r="F19" s="189" t="s">
        <v>266</v>
      </c>
      <c r="G19" s="197" t="s">
        <v>266</v>
      </c>
      <c r="H19" s="189" t="s">
        <v>266</v>
      </c>
      <c r="P19" s="188" t="s">
        <v>265</v>
      </c>
      <c r="Q19" s="189" t="s">
        <v>296</v>
      </c>
      <c r="R19" s="189" t="s">
        <v>297</v>
      </c>
    </row>
    <row r="20" spans="1:22" ht="15" thickBot="1" x14ac:dyDescent="0.35">
      <c r="A20" s="188" t="s">
        <v>267</v>
      </c>
      <c r="B20" s="189" t="s">
        <v>268</v>
      </c>
      <c r="C20" s="189" t="s">
        <v>268</v>
      </c>
      <c r="D20" s="189" t="s">
        <v>259</v>
      </c>
      <c r="E20" s="197" t="s">
        <v>268</v>
      </c>
      <c r="F20" s="189" t="s">
        <v>268</v>
      </c>
      <c r="G20" s="197" t="s">
        <v>268</v>
      </c>
      <c r="H20" s="189" t="s">
        <v>268</v>
      </c>
      <c r="P20" s="188" t="s">
        <v>267</v>
      </c>
      <c r="Q20" s="189" t="s">
        <v>298</v>
      </c>
      <c r="R20" s="189" t="s">
        <v>299</v>
      </c>
    </row>
    <row r="21" spans="1:22" ht="15" thickBot="1" x14ac:dyDescent="0.35">
      <c r="A21" s="188" t="s">
        <v>269</v>
      </c>
      <c r="B21" s="189" t="s">
        <v>270</v>
      </c>
      <c r="C21" s="189" t="s">
        <v>270</v>
      </c>
      <c r="D21" s="189" t="s">
        <v>270</v>
      </c>
      <c r="E21" s="197" t="s">
        <v>270</v>
      </c>
      <c r="F21" s="189" t="s">
        <v>270</v>
      </c>
      <c r="G21" s="197" t="s">
        <v>270</v>
      </c>
      <c r="H21" s="189" t="s">
        <v>270</v>
      </c>
      <c r="P21" s="188" t="s">
        <v>269</v>
      </c>
      <c r="Q21" s="189" t="s">
        <v>300</v>
      </c>
      <c r="R21" s="189" t="s">
        <v>301</v>
      </c>
    </row>
    <row r="22" spans="1:22" ht="29.4" thickBot="1" x14ac:dyDescent="0.35">
      <c r="A22" s="185"/>
      <c r="E22" s="198" t="s">
        <v>287</v>
      </c>
      <c r="F22" s="166"/>
      <c r="G22" s="198" t="s">
        <v>287</v>
      </c>
      <c r="P22" s="185"/>
    </row>
    <row r="23" spans="1:22" ht="15" thickBot="1" x14ac:dyDescent="0.35">
      <c r="A23" s="188" t="s">
        <v>271</v>
      </c>
      <c r="B23" s="188" t="s">
        <v>232</v>
      </c>
      <c r="C23" s="188" t="s">
        <v>233</v>
      </c>
      <c r="D23" s="188" t="s">
        <v>234</v>
      </c>
      <c r="E23" s="196" t="s">
        <v>235</v>
      </c>
      <c r="F23" s="188" t="s">
        <v>236</v>
      </c>
      <c r="G23" s="196" t="s">
        <v>237</v>
      </c>
      <c r="H23" s="188" t="s">
        <v>238</v>
      </c>
      <c r="P23" s="188" t="s">
        <v>271</v>
      </c>
      <c r="Q23" s="188" t="s">
        <v>232</v>
      </c>
      <c r="R23" s="188" t="s">
        <v>233</v>
      </c>
    </row>
    <row r="24" spans="1:22" ht="15" thickBot="1" x14ac:dyDescent="0.35">
      <c r="A24" s="188" t="s">
        <v>247</v>
      </c>
      <c r="B24" s="189">
        <v>488</v>
      </c>
      <c r="C24" s="189">
        <v>489</v>
      </c>
      <c r="D24" s="189">
        <v>502</v>
      </c>
      <c r="E24" s="197">
        <v>5</v>
      </c>
      <c r="F24" s="189">
        <v>978</v>
      </c>
      <c r="G24" s="197">
        <v>5</v>
      </c>
      <c r="H24" s="189">
        <v>12</v>
      </c>
      <c r="P24" s="188" t="s">
        <v>247</v>
      </c>
      <c r="Q24" s="189">
        <v>1000</v>
      </c>
      <c r="R24" s="189">
        <v>5</v>
      </c>
    </row>
    <row r="25" spans="1:22" ht="15" thickBot="1" x14ac:dyDescent="0.35">
      <c r="A25" s="188" t="s">
        <v>254</v>
      </c>
      <c r="B25" s="189">
        <v>487</v>
      </c>
      <c r="C25" s="189">
        <v>488</v>
      </c>
      <c r="D25" s="189">
        <v>501</v>
      </c>
      <c r="E25" s="197">
        <v>4</v>
      </c>
      <c r="F25" s="189">
        <v>977</v>
      </c>
      <c r="G25" s="197">
        <v>4</v>
      </c>
      <c r="H25" s="189">
        <v>11</v>
      </c>
      <c r="P25" s="188" t="s">
        <v>254</v>
      </c>
      <c r="Q25" s="189">
        <v>999</v>
      </c>
      <c r="R25" s="189">
        <v>4</v>
      </c>
    </row>
    <row r="26" spans="1:22" ht="15" thickBot="1" x14ac:dyDescent="0.35">
      <c r="A26" s="188" t="s">
        <v>260</v>
      </c>
      <c r="B26" s="189">
        <v>486</v>
      </c>
      <c r="C26" s="189">
        <v>3</v>
      </c>
      <c r="D26" s="189">
        <v>500</v>
      </c>
      <c r="E26" s="197">
        <v>3</v>
      </c>
      <c r="F26" s="189">
        <v>3</v>
      </c>
      <c r="G26" s="197">
        <v>3</v>
      </c>
      <c r="H26" s="189">
        <v>10</v>
      </c>
      <c r="P26" s="188" t="s">
        <v>260</v>
      </c>
      <c r="Q26" s="189">
        <v>998</v>
      </c>
      <c r="R26" s="189">
        <v>3</v>
      </c>
    </row>
    <row r="27" spans="1:22" ht="15" thickBot="1" x14ac:dyDescent="0.35">
      <c r="A27" s="188" t="s">
        <v>265</v>
      </c>
      <c r="B27" s="189">
        <v>2</v>
      </c>
      <c r="C27" s="189">
        <v>2</v>
      </c>
      <c r="D27" s="189">
        <v>12</v>
      </c>
      <c r="E27" s="197">
        <v>2</v>
      </c>
      <c r="F27" s="189">
        <v>2</v>
      </c>
      <c r="G27" s="197">
        <v>2</v>
      </c>
      <c r="H27" s="189">
        <v>2</v>
      </c>
      <c r="P27" s="188" t="s">
        <v>265</v>
      </c>
      <c r="Q27" s="189">
        <v>997</v>
      </c>
      <c r="R27" s="189">
        <v>2</v>
      </c>
    </row>
    <row r="28" spans="1:22" ht="15" thickBot="1" x14ac:dyDescent="0.35">
      <c r="A28" s="188" t="s">
        <v>267</v>
      </c>
      <c r="B28" s="189">
        <v>1</v>
      </c>
      <c r="C28" s="189">
        <v>1</v>
      </c>
      <c r="D28" s="189">
        <v>11</v>
      </c>
      <c r="E28" s="197">
        <v>1</v>
      </c>
      <c r="F28" s="189">
        <v>1</v>
      </c>
      <c r="G28" s="197">
        <v>1</v>
      </c>
      <c r="H28" s="189">
        <v>1</v>
      </c>
      <c r="P28" s="188" t="s">
        <v>267</v>
      </c>
      <c r="Q28" s="189">
        <v>996</v>
      </c>
      <c r="R28" s="189">
        <v>1</v>
      </c>
    </row>
    <row r="29" spans="1:22" ht="15" thickBot="1" x14ac:dyDescent="0.35">
      <c r="A29" s="188" t="s">
        <v>269</v>
      </c>
      <c r="B29" s="189">
        <v>0</v>
      </c>
      <c r="C29" s="189">
        <v>0</v>
      </c>
      <c r="D29" s="189">
        <v>0</v>
      </c>
      <c r="E29" s="197">
        <v>0</v>
      </c>
      <c r="F29" s="189">
        <v>0</v>
      </c>
      <c r="G29" s="197">
        <v>0</v>
      </c>
      <c r="H29" s="189">
        <v>0</v>
      </c>
      <c r="P29" s="188" t="s">
        <v>269</v>
      </c>
      <c r="Q29" s="189">
        <v>995</v>
      </c>
      <c r="R29" s="189">
        <v>0</v>
      </c>
    </row>
    <row r="30" spans="1:22" ht="18.600000000000001" thickBot="1" x14ac:dyDescent="0.35">
      <c r="A30" s="185"/>
      <c r="P30" s="185"/>
    </row>
    <row r="31" spans="1:22" ht="15" thickBot="1" x14ac:dyDescent="0.35">
      <c r="A31" s="188" t="s">
        <v>272</v>
      </c>
      <c r="B31" s="188" t="s">
        <v>232</v>
      </c>
      <c r="C31" s="188" t="s">
        <v>233</v>
      </c>
      <c r="D31" s="188" t="s">
        <v>234</v>
      </c>
      <c r="E31" s="196" t="s">
        <v>235</v>
      </c>
      <c r="F31" s="188" t="s">
        <v>236</v>
      </c>
      <c r="G31" s="196" t="s">
        <v>237</v>
      </c>
      <c r="H31" s="188" t="s">
        <v>238</v>
      </c>
      <c r="I31" s="188" t="s">
        <v>223</v>
      </c>
      <c r="J31" s="188" t="s">
        <v>273</v>
      </c>
      <c r="K31" s="188" t="s">
        <v>274</v>
      </c>
      <c r="L31" s="188" t="s">
        <v>275</v>
      </c>
      <c r="P31" s="188" t="s">
        <v>272</v>
      </c>
      <c r="Q31" s="188" t="s">
        <v>232</v>
      </c>
      <c r="R31" s="188" t="s">
        <v>233</v>
      </c>
      <c r="S31" s="188" t="s">
        <v>223</v>
      </c>
      <c r="T31" s="188" t="s">
        <v>273</v>
      </c>
      <c r="U31" s="188" t="s">
        <v>274</v>
      </c>
      <c r="V31" s="188" t="s">
        <v>275</v>
      </c>
    </row>
    <row r="32" spans="1:22" ht="15" thickBot="1" x14ac:dyDescent="0.35">
      <c r="A32" s="188" t="s">
        <v>240</v>
      </c>
      <c r="B32" s="189">
        <v>488</v>
      </c>
      <c r="C32" s="189">
        <v>2</v>
      </c>
      <c r="D32" s="189">
        <v>502</v>
      </c>
      <c r="E32" s="197">
        <v>2</v>
      </c>
      <c r="F32" s="189">
        <v>1</v>
      </c>
      <c r="G32" s="197">
        <v>3</v>
      </c>
      <c r="H32" s="189">
        <v>2</v>
      </c>
      <c r="I32" s="189">
        <v>1000</v>
      </c>
      <c r="J32" s="189">
        <v>1000</v>
      </c>
      <c r="K32" s="189">
        <v>0</v>
      </c>
      <c r="L32" s="189">
        <v>0</v>
      </c>
      <c r="P32" s="188" t="s">
        <v>240</v>
      </c>
      <c r="Q32" s="189">
        <v>997</v>
      </c>
      <c r="R32" s="189">
        <v>3</v>
      </c>
      <c r="S32" s="189">
        <v>1000</v>
      </c>
      <c r="T32" s="189">
        <v>1000</v>
      </c>
      <c r="U32" s="189">
        <v>0</v>
      </c>
      <c r="V32" s="189">
        <v>0</v>
      </c>
    </row>
    <row r="33" spans="1:22" ht="15" thickBot="1" x14ac:dyDescent="0.35">
      <c r="A33" s="188" t="s">
        <v>241</v>
      </c>
      <c r="B33" s="189">
        <v>1</v>
      </c>
      <c r="C33" s="189">
        <v>0</v>
      </c>
      <c r="D33" s="189">
        <v>11</v>
      </c>
      <c r="E33" s="197">
        <v>0</v>
      </c>
      <c r="F33" s="189">
        <v>977</v>
      </c>
      <c r="G33" s="197">
        <v>0</v>
      </c>
      <c r="H33" s="189">
        <v>11</v>
      </c>
      <c r="I33" s="189">
        <v>1000</v>
      </c>
      <c r="J33" s="189">
        <v>1000</v>
      </c>
      <c r="K33" s="189">
        <v>0</v>
      </c>
      <c r="L33" s="189">
        <v>0</v>
      </c>
      <c r="P33" s="188" t="s">
        <v>241</v>
      </c>
      <c r="Q33" s="189">
        <v>995</v>
      </c>
      <c r="R33" s="189">
        <v>0</v>
      </c>
      <c r="S33" s="189">
        <v>995</v>
      </c>
      <c r="T33" s="189">
        <v>1000</v>
      </c>
      <c r="U33" s="189">
        <v>5</v>
      </c>
      <c r="V33" s="189">
        <v>0.5</v>
      </c>
    </row>
    <row r="34" spans="1:22" ht="15" thickBot="1" x14ac:dyDescent="0.35">
      <c r="A34" s="188" t="s">
        <v>242</v>
      </c>
      <c r="B34" s="189">
        <v>0</v>
      </c>
      <c r="C34" s="189">
        <v>488</v>
      </c>
      <c r="D34" s="189">
        <v>501</v>
      </c>
      <c r="E34" s="197">
        <v>3</v>
      </c>
      <c r="F34" s="189">
        <v>3</v>
      </c>
      <c r="G34" s="197">
        <v>4</v>
      </c>
      <c r="H34" s="189">
        <v>1</v>
      </c>
      <c r="I34" s="189">
        <v>1000</v>
      </c>
      <c r="J34" s="189">
        <v>1000</v>
      </c>
      <c r="K34" s="189">
        <v>0</v>
      </c>
      <c r="L34" s="189">
        <v>0</v>
      </c>
      <c r="P34" s="188" t="s">
        <v>242</v>
      </c>
      <c r="Q34" s="189">
        <v>998</v>
      </c>
      <c r="R34" s="189">
        <v>4</v>
      </c>
      <c r="S34" s="189">
        <v>1002</v>
      </c>
      <c r="T34" s="189">
        <v>1000</v>
      </c>
      <c r="U34" s="189">
        <v>-2</v>
      </c>
      <c r="V34" s="189">
        <v>-0.2</v>
      </c>
    </row>
    <row r="35" spans="1:22" ht="15" thickBot="1" x14ac:dyDescent="0.35">
      <c r="A35" s="188" t="s">
        <v>243</v>
      </c>
      <c r="B35" s="189">
        <v>487</v>
      </c>
      <c r="C35" s="189">
        <v>489</v>
      </c>
      <c r="D35" s="189">
        <v>12</v>
      </c>
      <c r="E35" s="197">
        <v>5</v>
      </c>
      <c r="F35" s="189">
        <v>2</v>
      </c>
      <c r="G35" s="197">
        <v>5</v>
      </c>
      <c r="H35" s="189">
        <v>0</v>
      </c>
      <c r="I35" s="189">
        <v>1000</v>
      </c>
      <c r="J35" s="189">
        <v>1000</v>
      </c>
      <c r="K35" s="189">
        <v>0</v>
      </c>
      <c r="L35" s="189">
        <v>0</v>
      </c>
      <c r="P35" s="188" t="s">
        <v>243</v>
      </c>
      <c r="Q35" s="189">
        <v>1000</v>
      </c>
      <c r="R35" s="189">
        <v>5</v>
      </c>
      <c r="S35" s="189">
        <v>1005</v>
      </c>
      <c r="T35" s="189">
        <v>1000</v>
      </c>
      <c r="U35" s="189">
        <v>-5</v>
      </c>
      <c r="V35" s="189">
        <v>-0.5</v>
      </c>
    </row>
    <row r="36" spans="1:22" ht="15" thickBot="1" x14ac:dyDescent="0.35">
      <c r="A36" s="188" t="s">
        <v>244</v>
      </c>
      <c r="B36" s="189">
        <v>486</v>
      </c>
      <c r="C36" s="189">
        <v>1</v>
      </c>
      <c r="D36" s="189">
        <v>500</v>
      </c>
      <c r="E36" s="197">
        <v>1</v>
      </c>
      <c r="F36" s="189">
        <v>0</v>
      </c>
      <c r="G36" s="197">
        <v>2</v>
      </c>
      <c r="H36" s="189">
        <v>10</v>
      </c>
      <c r="I36" s="189">
        <v>1000</v>
      </c>
      <c r="J36" s="189">
        <v>1000</v>
      </c>
      <c r="K36" s="189">
        <v>0</v>
      </c>
      <c r="L36" s="189">
        <v>0</v>
      </c>
      <c r="P36" s="188" t="s">
        <v>244</v>
      </c>
      <c r="Q36" s="189">
        <v>996</v>
      </c>
      <c r="R36" s="189">
        <v>2</v>
      </c>
      <c r="S36" s="189">
        <v>998</v>
      </c>
      <c r="T36" s="189">
        <v>1000</v>
      </c>
      <c r="U36" s="189">
        <v>2</v>
      </c>
      <c r="V36" s="189">
        <v>0.2</v>
      </c>
    </row>
    <row r="37" spans="1:22" ht="15" thickBot="1" x14ac:dyDescent="0.35">
      <c r="A37" s="188" t="s">
        <v>245</v>
      </c>
      <c r="B37" s="189">
        <v>2</v>
      </c>
      <c r="C37" s="189">
        <v>3</v>
      </c>
      <c r="D37" s="189">
        <v>0</v>
      </c>
      <c r="E37" s="197">
        <v>4</v>
      </c>
      <c r="F37" s="189">
        <v>978</v>
      </c>
      <c r="G37" s="197">
        <v>1</v>
      </c>
      <c r="H37" s="189">
        <v>12</v>
      </c>
      <c r="I37" s="189">
        <v>1000</v>
      </c>
      <c r="J37" s="189">
        <v>1000</v>
      </c>
      <c r="K37" s="189">
        <v>0</v>
      </c>
      <c r="L37" s="189">
        <v>0</v>
      </c>
      <c r="P37" s="188" t="s">
        <v>245</v>
      </c>
      <c r="Q37" s="189">
        <v>999</v>
      </c>
      <c r="R37" s="189">
        <v>1</v>
      </c>
      <c r="S37" s="189">
        <v>1000</v>
      </c>
      <c r="T37" s="189">
        <v>1000</v>
      </c>
      <c r="U37" s="189">
        <v>0</v>
      </c>
      <c r="V37" s="189">
        <v>0</v>
      </c>
    </row>
    <row r="38" spans="1:22" ht="15" thickBot="1" x14ac:dyDescent="0.35"/>
    <row r="39" spans="1:22" ht="15" thickBot="1" x14ac:dyDescent="0.35">
      <c r="A39" s="190" t="s">
        <v>276</v>
      </c>
      <c r="B39" s="191">
        <v>2479</v>
      </c>
      <c r="P39" s="190" t="s">
        <v>276</v>
      </c>
      <c r="Q39" s="191">
        <v>1005</v>
      </c>
    </row>
    <row r="40" spans="1:22" ht="15" thickBot="1" x14ac:dyDescent="0.35">
      <c r="A40" s="190" t="s">
        <v>277</v>
      </c>
      <c r="B40" s="191">
        <v>0</v>
      </c>
      <c r="P40" s="190" t="s">
        <v>277</v>
      </c>
      <c r="Q40" s="191">
        <v>995</v>
      </c>
    </row>
    <row r="41" spans="1:22" ht="15" thickBot="1" x14ac:dyDescent="0.35">
      <c r="A41" s="190" t="s">
        <v>278</v>
      </c>
      <c r="B41" s="191">
        <v>6000</v>
      </c>
      <c r="P41" s="190" t="s">
        <v>278</v>
      </c>
      <c r="Q41" s="191">
        <v>6000</v>
      </c>
    </row>
    <row r="42" spans="1:22" ht="15" thickBot="1" x14ac:dyDescent="0.35">
      <c r="A42" s="190" t="s">
        <v>279</v>
      </c>
      <c r="B42" s="191">
        <v>6000</v>
      </c>
      <c r="P42" s="190" t="s">
        <v>279</v>
      </c>
      <c r="Q42" s="191">
        <v>6000</v>
      </c>
    </row>
    <row r="43" spans="1:22" ht="15" thickBot="1" x14ac:dyDescent="0.35">
      <c r="A43" s="190" t="s">
        <v>280</v>
      </c>
      <c r="B43" s="191">
        <v>0</v>
      </c>
      <c r="P43" s="190" t="s">
        <v>280</v>
      </c>
      <c r="Q43" s="191">
        <v>0</v>
      </c>
    </row>
    <row r="44" spans="1:22" ht="15" thickBot="1" x14ac:dyDescent="0.35">
      <c r="A44" s="190" t="s">
        <v>281</v>
      </c>
      <c r="B44" s="191"/>
      <c r="P44" s="190" t="s">
        <v>281</v>
      </c>
      <c r="Q44" s="191"/>
    </row>
    <row r="45" spans="1:22" ht="15" thickBot="1" x14ac:dyDescent="0.35">
      <c r="A45" s="190" t="s">
        <v>282</v>
      </c>
      <c r="B45" s="191"/>
      <c r="P45" s="190" t="s">
        <v>282</v>
      </c>
      <c r="Q45" s="191"/>
    </row>
    <row r="46" spans="1:22" ht="15" thickBot="1" x14ac:dyDescent="0.35">
      <c r="A46" s="190" t="s">
        <v>283</v>
      </c>
      <c r="B46" s="191">
        <v>0</v>
      </c>
      <c r="P46" s="190" t="s">
        <v>283</v>
      </c>
      <c r="Q46" s="191">
        <v>0</v>
      </c>
    </row>
    <row r="48" spans="1:22" x14ac:dyDescent="0.3">
      <c r="A48" s="192" t="s">
        <v>284</v>
      </c>
      <c r="P48" s="192" t="s">
        <v>284</v>
      </c>
    </row>
    <row r="50" spans="1:16" x14ac:dyDescent="0.3">
      <c r="A50" s="193" t="s">
        <v>285</v>
      </c>
      <c r="P50" s="193" t="s">
        <v>302</v>
      </c>
    </row>
    <row r="51" spans="1:16" x14ac:dyDescent="0.3">
      <c r="A51" s="193" t="s">
        <v>286</v>
      </c>
      <c r="P51" s="193" t="s">
        <v>303</v>
      </c>
    </row>
  </sheetData>
  <conditionalFormatting sqref="S32:S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A48" r:id="rId1" display="https://miau.my-x.hu/myx-free/coco/test/908543320250522152317.html" xr:uid="{6D25D299-1D4A-4572-95BF-05AFEBD60E12}"/>
    <hyperlink ref="P48" r:id="rId2" display="https://miau.my-x.hu/myx-free/coco/test/246980420250522152436.html" xr:uid="{424F7FF2-BBCC-4BFD-9B63-E665A8005329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="60" zoomScaleNormal="82" workbookViewId="0"/>
  </sheetViews>
  <sheetFormatPr defaultRowHeight="14.4" x14ac:dyDescent="0.3"/>
  <cols>
    <col min="1" max="1" width="41.109375" bestFit="1" customWidth="1"/>
    <col min="2" max="2" width="42.44140625" bestFit="1" customWidth="1"/>
    <col min="3" max="3" width="43.44140625" bestFit="1" customWidth="1"/>
    <col min="4" max="4" width="39.5546875" bestFit="1" customWidth="1"/>
    <col min="5" max="5" width="32.6640625" bestFit="1" customWidth="1"/>
    <col min="6" max="6" width="23.88671875" bestFit="1" customWidth="1"/>
    <col min="7" max="7" width="33.5546875" bestFit="1" customWidth="1"/>
    <col min="8" max="8" width="12" bestFit="1" customWidth="1"/>
    <col min="9" max="9" width="16.5546875" bestFit="1" customWidth="1"/>
  </cols>
  <sheetData>
    <row r="1" spans="1:9" ht="18.600000000000001" thickBot="1" x14ac:dyDescent="0.4">
      <c r="A1" s="32" t="str">
        <f>'Országok mutatói'!A1</f>
        <v>Ország</v>
      </c>
      <c r="B1" s="33" t="s">
        <v>137</v>
      </c>
      <c r="C1" s="33" t="s">
        <v>138</v>
      </c>
      <c r="D1" s="33" t="s">
        <v>139</v>
      </c>
      <c r="E1" s="33" t="s">
        <v>140</v>
      </c>
      <c r="F1" s="33" t="s">
        <v>141</v>
      </c>
      <c r="G1" s="34" t="s">
        <v>142</v>
      </c>
    </row>
    <row r="2" spans="1:9" x14ac:dyDescent="0.3">
      <c r="A2" s="111" t="str">
        <f>'Országok mutatói'!A2</f>
        <v>Magyarország</v>
      </c>
      <c r="B2" s="148">
        <f>'Országok mutatói'!H2/'Országok mutatói'!B2*100</f>
        <v>26.905299365795983</v>
      </c>
      <c r="C2" s="145">
        <f>('Országok mutatói'!C2+'Országok mutatói'!D2)/'Országok mutatói'!B2*100</f>
        <v>53.746103407502957</v>
      </c>
      <c r="D2" s="145">
        <f>'Országok mutatói'!H2/'Országok mutatói'!K2</f>
        <v>9.7241647241647247</v>
      </c>
      <c r="E2" s="145">
        <f>'Országok mutatói'!K2 / 'Országok mutatói'!I2 * 100</f>
        <v>55.920052139908762</v>
      </c>
      <c r="F2" s="145">
        <f>'Országok mutatói'!L2 / 'Országok mutatói'!K2 * 100</f>
        <v>45.765345765345764</v>
      </c>
      <c r="G2" s="149">
        <f>'Országok mutatói'!J2 / 'Országok mutatói'!I2 * 100</f>
        <v>0.67347382142081247</v>
      </c>
    </row>
    <row r="3" spans="1:9" x14ac:dyDescent="0.3">
      <c r="A3" s="112" t="str">
        <f>'Országok mutatói'!A3</f>
        <v>Ausztria</v>
      </c>
      <c r="B3" s="150">
        <f>'Országok mutatói'!H3/'Országok mutatói'!B3*100</f>
        <v>43.966904707972198</v>
      </c>
      <c r="C3" s="146">
        <f>('Országok mutatói'!C3+'Országok mutatói'!D3)/'Országok mutatói'!B3*100</f>
        <v>41.726773089807942</v>
      </c>
      <c r="D3" s="146">
        <f>'Országok mutatói'!H3/'Országok mutatói'!K3</f>
        <v>0.49710195718984201</v>
      </c>
      <c r="E3" s="146">
        <f>'Országok mutatói'!K3 / 'Országok mutatói'!I3 * 100</f>
        <v>142.72961637615916</v>
      </c>
      <c r="F3" s="146">
        <f>'Országok mutatói'!L3 / 'Országok mutatói'!K3 * 100</f>
        <v>2.7956003666361138</v>
      </c>
      <c r="G3" s="151">
        <f>'Országok mutatói'!J3 / 'Országok mutatói'!I3 * 100</f>
        <v>8.4651198584016318E-2</v>
      </c>
    </row>
    <row r="4" spans="1:9" x14ac:dyDescent="0.3">
      <c r="A4" s="112" t="str">
        <f>'Országok mutatói'!A4</f>
        <v>Románia</v>
      </c>
      <c r="B4" s="150">
        <f>'Országok mutatói'!H4/'Országok mutatói'!B4*100</f>
        <v>48.824859373230368</v>
      </c>
      <c r="C4" s="146">
        <f>('Országok mutatói'!C4+'Országok mutatói'!D4)/'Országok mutatói'!B4*100</f>
        <v>41.946836579319367</v>
      </c>
      <c r="D4" s="146">
        <f>'Országok mutatói'!H4/'Országok mutatói'!K4</f>
        <v>19.338262169795648</v>
      </c>
      <c r="E4" s="146">
        <f>'Országok mutatói'!K4 / 'Országok mutatói'!I4 * 100</f>
        <v>40.917743031951055</v>
      </c>
      <c r="F4" s="146">
        <f>'Országok mutatói'!L4 / 'Országok mutatói'!K4 * 100</f>
        <v>49.343744808107658</v>
      </c>
      <c r="G4" s="151">
        <f>'Országok mutatói'!J4 / 'Országok mutatói'!I4 * 100</f>
        <v>0.14276002719238612</v>
      </c>
    </row>
    <row r="5" spans="1:9" x14ac:dyDescent="0.3">
      <c r="A5" s="112" t="str">
        <f>'Országok mutatói'!A5</f>
        <v>Szlovákia</v>
      </c>
      <c r="B5" s="150">
        <f>'Országok mutatói'!H5/'Országok mutatói'!B5*100</f>
        <v>30.661772203528091</v>
      </c>
      <c r="C5" s="146">
        <f>('Országok mutatói'!C5+'Országok mutatói'!D5)/'Országok mutatói'!B5*100</f>
        <v>50.983991026817577</v>
      </c>
      <c r="D5" s="146">
        <f>'Országok mutatói'!H5/'Országok mutatói'!K5</f>
        <v>242.5</v>
      </c>
      <c r="E5" s="146">
        <f>'Országok mutatói'!K5 / 'Országok mutatói'!I5 * 100</f>
        <v>7.2261072261072261</v>
      </c>
      <c r="F5" s="146">
        <f>'Országok mutatói'!L5 / 'Országok mutatói'!K5 * 100</f>
        <v>61.29032258064516</v>
      </c>
      <c r="G5" s="151">
        <f>'Országok mutatói'!J5 / 'Országok mutatói'!I5 * 100</f>
        <v>0.58275058275058278</v>
      </c>
    </row>
    <row r="6" spans="1:9" x14ac:dyDescent="0.3">
      <c r="A6" s="112" t="str">
        <f>'Országok mutatói'!A6</f>
        <v>Szlovénia</v>
      </c>
      <c r="B6" s="150">
        <f>'Országok mutatói'!H6/'Országok mutatói'!B6*100</f>
        <v>30.942633058748086</v>
      </c>
      <c r="C6" s="146">
        <f>('Országok mutatói'!C6+'Országok mutatói'!D6)/'Országok mutatói'!B6*100</f>
        <v>49.32669067232279</v>
      </c>
      <c r="D6" s="146">
        <f>'Országok mutatói'!H6/'Országok mutatói'!K6</f>
        <v>1.2500996412913512</v>
      </c>
      <c r="E6" s="146">
        <f>'Országok mutatói'!K6 / 'Országok mutatói'!I6 * 100</f>
        <v>87.072705188269993</v>
      </c>
      <c r="F6" s="146">
        <f>'Országok mutatói'!L6 / 'Országok mutatói'!K6 * 100</f>
        <v>8.6887206058190518</v>
      </c>
      <c r="G6" s="151">
        <f>'Országok mutatói'!J6 / 'Országok mutatói'!I6 * 100</f>
        <v>1.1105327086586847</v>
      </c>
    </row>
    <row r="7" spans="1:9" ht="15" thickBot="1" x14ac:dyDescent="0.35">
      <c r="A7" s="113" t="str">
        <f>'Országok mutatói'!A7</f>
        <v>Németország</v>
      </c>
      <c r="B7" s="152">
        <f>'Országok mutatói'!H7/'Országok mutatói'!B7*100</f>
        <v>32.84571863475346</v>
      </c>
      <c r="C7" s="147">
        <f>('Országok mutatói'!C7+'Országok mutatói'!D7)/'Országok mutatói'!B7*100</f>
        <v>50.3657110239349</v>
      </c>
      <c r="D7" s="147">
        <f>'Országok mutatói'!H7/'Országok mutatói'!K7</f>
        <v>0.36118769230769232</v>
      </c>
      <c r="E7" s="147">
        <f>'Országok mutatói'!K7 / 'Országok mutatói'!I7 * 100</f>
        <v>46.829971181556196</v>
      </c>
      <c r="F7" s="147">
        <f>'Országok mutatói'!L7 / 'Országok mutatói'!K7 * 100</f>
        <v>6.6461538461538456</v>
      </c>
      <c r="G7" s="153">
        <f>'Országok mutatói'!J7 / 'Országok mutatói'!I7 * 100</f>
        <v>4.1642651296829966E-2</v>
      </c>
    </row>
    <row r="10" spans="1:9" ht="15" thickBot="1" x14ac:dyDescent="0.35"/>
    <row r="11" spans="1:9" ht="45.75" customHeight="1" thickBot="1" x14ac:dyDescent="0.35">
      <c r="A11" s="207" t="s">
        <v>143</v>
      </c>
      <c r="B11" s="208"/>
    </row>
    <row r="12" spans="1:9" ht="18.600000000000001" thickBot="1" x14ac:dyDescent="0.4">
      <c r="A12" s="32" t="s">
        <v>44</v>
      </c>
      <c r="B12" s="33" t="s">
        <v>149</v>
      </c>
      <c r="C12" s="33" t="s">
        <v>151</v>
      </c>
      <c r="D12" s="33" t="str">
        <f ca="1">INDIRECT("'Országok mutatói'!A" &amp; COLUMN(B$1))</f>
        <v>Magyarország</v>
      </c>
      <c r="E12" s="33" t="str">
        <f t="shared" ref="E12:G12" ca="1" si="0">INDIRECT("'Országok mutatói'!A" &amp; COLUMN(C$1))</f>
        <v>Ausztria</v>
      </c>
      <c r="F12" s="33" t="str">
        <f t="shared" ca="1" si="0"/>
        <v>Románia</v>
      </c>
      <c r="G12" s="33" t="str">
        <f t="shared" ca="1" si="0"/>
        <v>Szlovákia</v>
      </c>
      <c r="H12" s="33" t="str">
        <f ca="1">INDIRECT("'Országok mutatói'!A" &amp; COLUMN(F$1))</f>
        <v>Szlovénia</v>
      </c>
      <c r="I12" s="34" t="str">
        <f ca="1">INDIRECT("'Országok mutatói'!A" &amp; COLUMN(G$1))</f>
        <v>Németország</v>
      </c>
    </row>
    <row r="13" spans="1:9" x14ac:dyDescent="0.3">
      <c r="A13" s="111" t="str">
        <f ca="1">INDIRECT("'Iránykód'!" &amp; ADDRESS(1, ROW(A2)))</f>
        <v>Szabad terület / Teljes terület (%)</v>
      </c>
      <c r="B13" s="107" t="s">
        <v>144</v>
      </c>
      <c r="C13" s="145">
        <f>AVERAGE(B2:B7)</f>
        <v>35.691197890671368</v>
      </c>
      <c r="D13" s="105">
        <f>IF(B2&lt;$C13,1,0)</f>
        <v>1</v>
      </c>
      <c r="E13" s="105">
        <f>IF(B3&lt;C13,1,0)</f>
        <v>0</v>
      </c>
      <c r="F13" s="105">
        <f>IF(B4&lt;C13,1,0)</f>
        <v>0</v>
      </c>
      <c r="G13" s="105">
        <f>IF(B5&lt;C13,1,0)</f>
        <v>1</v>
      </c>
      <c r="H13" s="105">
        <f>IF(B6&lt;C13,1,0)</f>
        <v>1</v>
      </c>
      <c r="I13" s="106">
        <f>IF(B7&lt;C13,1,0)</f>
        <v>1</v>
      </c>
    </row>
    <row r="14" spans="1:9" x14ac:dyDescent="0.3">
      <c r="A14" s="112" t="str">
        <f t="shared" ref="A14:A18" ca="1" si="1">INDIRECT("'Iránykód'!" &amp; ADDRESS(1, ROW(A3)))</f>
        <v>Tiltott + korlátorzott terület / Teljes terület (%)</v>
      </c>
      <c r="B14" s="108" t="s">
        <v>145</v>
      </c>
      <c r="C14" s="146">
        <f t="shared" ref="C14:C18" si="2">AVERAGE(B3:B8)</f>
        <v>37.448377595646441</v>
      </c>
      <c r="D14" s="101">
        <f>IF(C2&lt;$C14,1,0)</f>
        <v>0</v>
      </c>
      <c r="E14" s="101">
        <f>IF(C3&lt;C14,1,0)</f>
        <v>0</v>
      </c>
      <c r="F14" s="101">
        <f>IF(C4&lt;C14,1,0)</f>
        <v>0</v>
      </c>
      <c r="G14" s="101">
        <f>IF(C5&lt;C14,1,0)</f>
        <v>0</v>
      </c>
      <c r="H14" s="101">
        <f>IF(C6&lt;C14,1,0)</f>
        <v>0</v>
      </c>
      <c r="I14" s="102">
        <f>IF(C7&lt;C14,1,0)</f>
        <v>0</v>
      </c>
    </row>
    <row r="15" spans="1:9" ht="21" customHeight="1" x14ac:dyDescent="0.3">
      <c r="A15" s="112" t="str">
        <f t="shared" ca="1" si="1"/>
        <v>Szabad terület / A1-A3 pilóta (km2)/pilota)</v>
      </c>
      <c r="B15" s="109" t="s">
        <v>144</v>
      </c>
      <c r="C15" s="146">
        <f t="shared" si="2"/>
        <v>35.818745817565002</v>
      </c>
      <c r="D15" s="101">
        <f>IF(D2&lt;$C15,1,0)</f>
        <v>1</v>
      </c>
      <c r="E15" s="101">
        <f>IF(D3&lt;C15,1,0)</f>
        <v>1</v>
      </c>
      <c r="F15" s="101">
        <f>IF(D4&lt;C15,1,0)</f>
        <v>1</v>
      </c>
      <c r="G15" s="101">
        <f>IF(D5&lt;C15,1,0)</f>
        <v>0</v>
      </c>
      <c r="H15" s="101">
        <f>IF(D6&lt;C15,1,0)</f>
        <v>1</v>
      </c>
      <c r="I15" s="102">
        <f>IF(D7&lt;C15,1,0)</f>
        <v>1</v>
      </c>
    </row>
    <row r="16" spans="1:9" ht="19.5" customHeight="1" x14ac:dyDescent="0.3">
      <c r="A16" s="112" t="str">
        <f t="shared" ca="1" si="1"/>
        <v>A1-A3 tanúsítvány / Üzemeltető(%)</v>
      </c>
      <c r="B16" s="109" t="s">
        <v>147</v>
      </c>
      <c r="C16" s="146">
        <f t="shared" si="2"/>
        <v>31.483374632343214</v>
      </c>
      <c r="D16" s="101">
        <f>IF(E2&lt;$C16,1,0)</f>
        <v>0</v>
      </c>
      <c r="E16" s="101">
        <f>IF(E3&lt;C16,1,0)</f>
        <v>0</v>
      </c>
      <c r="F16" s="101">
        <f>IF(E4&lt;C16,1,0)</f>
        <v>0</v>
      </c>
      <c r="G16" s="101">
        <f>IF(E5&lt;C16,1,0)</f>
        <v>1</v>
      </c>
      <c r="H16" s="101">
        <f>IF(E6&lt;C16,1,0)</f>
        <v>0</v>
      </c>
      <c r="I16" s="102">
        <f>IF(E7&lt;C16,1,0)</f>
        <v>0</v>
      </c>
    </row>
    <row r="17" spans="1:9" x14ac:dyDescent="0.3">
      <c r="A17" s="112" t="str">
        <f t="shared" ca="1" si="1"/>
        <v>A2/A1-A3 tanusítvány (%)</v>
      </c>
      <c r="B17" s="108" t="s">
        <v>146</v>
      </c>
      <c r="C17" s="146">
        <f t="shared" si="2"/>
        <v>31.894175846750773</v>
      </c>
      <c r="D17" s="101">
        <f>IF(F2&lt;$C17,1,0)</f>
        <v>0</v>
      </c>
      <c r="E17" s="101">
        <f>IF(F3&lt;C17,1,0)</f>
        <v>1</v>
      </c>
      <c r="F17" s="101">
        <f>IF(F4&lt;C17,1,0)</f>
        <v>0</v>
      </c>
      <c r="G17" s="101">
        <f>IF(F5&lt;C17,1,0)</f>
        <v>0</v>
      </c>
      <c r="H17" s="101">
        <f>IF(F6&lt;C17,1,0)</f>
        <v>1</v>
      </c>
      <c r="I17" s="102">
        <f>IF(F7&lt;C17,1,0)</f>
        <v>1</v>
      </c>
    </row>
    <row r="18" spans="1:9" ht="15" thickBot="1" x14ac:dyDescent="0.35">
      <c r="A18" s="113" t="str">
        <f t="shared" ca="1" si="1"/>
        <v>Operatív engedély / Üzemeltető (%)</v>
      </c>
      <c r="B18" s="110" t="s">
        <v>148</v>
      </c>
      <c r="C18" s="147">
        <f t="shared" si="2"/>
        <v>32.84571863475346</v>
      </c>
      <c r="D18" s="103">
        <f>IF(G2&lt;C18,1,0)</f>
        <v>1</v>
      </c>
      <c r="E18" s="103">
        <f>IF(G3&lt;C18,1,0)</f>
        <v>1</v>
      </c>
      <c r="F18" s="103">
        <f>IF(G4&lt;C18,1,0)</f>
        <v>1</v>
      </c>
      <c r="G18" s="103">
        <f>IF(G5&lt;C18,1,0)</f>
        <v>1</v>
      </c>
      <c r="H18" s="103">
        <f>IF(G6&lt;C18,1,0)</f>
        <v>1</v>
      </c>
      <c r="I18" s="104">
        <f>IF(G7&lt;C18,1,0)</f>
        <v>1</v>
      </c>
    </row>
    <row r="19" spans="1:9" ht="16.2" thickBot="1" x14ac:dyDescent="0.35">
      <c r="C19" s="114" t="s">
        <v>150</v>
      </c>
      <c r="D19" s="115">
        <f>SUM(D13:D18)</f>
        <v>3</v>
      </c>
      <c r="E19" s="115">
        <f>SUM(E13:E18)</f>
        <v>3</v>
      </c>
      <c r="F19" s="115">
        <f t="shared" ref="F19:I19" si="3">SUM(F13:F18)</f>
        <v>2</v>
      </c>
      <c r="G19" s="115">
        <f t="shared" si="3"/>
        <v>3</v>
      </c>
      <c r="H19" s="115">
        <f t="shared" si="3"/>
        <v>4</v>
      </c>
      <c r="I19" s="116">
        <f t="shared" si="3"/>
        <v>4</v>
      </c>
    </row>
  </sheetData>
  <mergeCells count="1">
    <mergeCell ref="A11:B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zoomScale="61" zoomScaleNormal="77" workbookViewId="0"/>
  </sheetViews>
  <sheetFormatPr defaultRowHeight="14.4" x14ac:dyDescent="0.3"/>
  <cols>
    <col min="1" max="1" width="41.109375" bestFit="1" customWidth="1"/>
    <col min="2" max="2" width="18" bestFit="1" customWidth="1"/>
    <col min="3" max="3" width="27.5546875" customWidth="1"/>
    <col min="4" max="4" width="24.109375" customWidth="1"/>
    <col min="5" max="5" width="71.88671875" customWidth="1"/>
    <col min="6" max="6" width="9.109375" customWidth="1"/>
  </cols>
  <sheetData>
    <row r="1" spans="1:5" ht="42.75" customHeight="1" thickBot="1" x14ac:dyDescent="0.4">
      <c r="A1" s="29" t="s">
        <v>39</v>
      </c>
      <c r="B1" s="30" t="s">
        <v>48</v>
      </c>
      <c r="C1" s="98" t="s">
        <v>122</v>
      </c>
      <c r="D1" s="99" t="s">
        <v>123</v>
      </c>
      <c r="E1" s="31" t="s">
        <v>47</v>
      </c>
    </row>
    <row r="2" spans="1:5" ht="29.4" thickBot="1" x14ac:dyDescent="0.35">
      <c r="A2" s="37" t="s">
        <v>13</v>
      </c>
      <c r="B2" s="26" t="s">
        <v>40</v>
      </c>
      <c r="C2" s="56">
        <f>IF(CORREL('Országok mutatói'!B2:B7, 'Országok mutatói2'!$I$2:$I$7) &gt;= 0, 0, 1)</f>
        <v>0</v>
      </c>
      <c r="D2" s="27">
        <f>IF('Országok mutatói'!B2 &lt; MEDIAN('Országok mutatói'!B2:B7), 0, 1)</f>
        <v>1</v>
      </c>
      <c r="E2" s="23" t="s">
        <v>124</v>
      </c>
    </row>
    <row r="3" spans="1:5" ht="29.4" thickBot="1" x14ac:dyDescent="0.35">
      <c r="A3" s="38" t="s">
        <v>14</v>
      </c>
      <c r="B3" s="27" t="s">
        <v>40</v>
      </c>
      <c r="C3" s="56">
        <f>IF(CORREL('Országok mutatói'!C2:C7, 'Országok mutatói2'!$I$2:$I$7) &gt;= 0, 0, 1)</f>
        <v>0</v>
      </c>
      <c r="D3" s="27">
        <f>IF('Országok mutatói'!C2 &lt; MEDIAN('Országok mutatói'!C2:C7), 0, 1)</f>
        <v>1</v>
      </c>
      <c r="E3" s="24" t="s">
        <v>125</v>
      </c>
    </row>
    <row r="4" spans="1:5" ht="29.4" thickBot="1" x14ac:dyDescent="0.35">
      <c r="A4" s="38" t="s">
        <v>15</v>
      </c>
      <c r="B4" s="27" t="s">
        <v>40</v>
      </c>
      <c r="C4" s="56">
        <f>IF(CORREL('Országok mutatói'!D2:D7, 'Országok mutatói2'!$I$2:$I$7) &gt;= 0, 0, 1)</f>
        <v>0</v>
      </c>
      <c r="D4" s="27">
        <f>IF('Országok mutatói'!D2&lt; MEDIAN('Országok mutatói'!D2:D7), 0, 1)</f>
        <v>1</v>
      </c>
      <c r="E4" s="24" t="s">
        <v>126</v>
      </c>
    </row>
    <row r="5" spans="1:5" ht="29.4" thickBot="1" x14ac:dyDescent="0.35">
      <c r="A5" s="38" t="s">
        <v>16</v>
      </c>
      <c r="B5" s="27" t="s">
        <v>40</v>
      </c>
      <c r="C5" s="56">
        <f>IF(CORREL('Országok mutatói'!E2:E7, 'Országok mutatói2'!$I$2:$I$7) &gt;= 0, 0, 1)</f>
        <v>1</v>
      </c>
      <c r="D5" s="27">
        <f>IF('Országok mutatói'!E2&lt; MEDIAN('Országok mutatói'!E2:E7), 0, 1)</f>
        <v>1</v>
      </c>
      <c r="E5" s="24" t="s">
        <v>49</v>
      </c>
    </row>
    <row r="6" spans="1:5" ht="15" thickBot="1" x14ac:dyDescent="0.35">
      <c r="A6" s="38" t="s">
        <v>17</v>
      </c>
      <c r="B6" s="27" t="s">
        <v>40</v>
      </c>
      <c r="C6" s="56">
        <f>IF(CORREL('Országok mutatói'!F2:F7, 'Országok mutatói2'!$I$2:$I$7) &gt;= 0, 0, 1)</f>
        <v>0</v>
      </c>
      <c r="D6" s="27">
        <f>IF('Országok mutatói'!F2&lt; MEDIAN('Országok mutatói'!F2:F7), 0, 1)</f>
        <v>1</v>
      </c>
      <c r="E6" s="24" t="s">
        <v>127</v>
      </c>
    </row>
    <row r="7" spans="1:5" ht="15" thickBot="1" x14ac:dyDescent="0.35">
      <c r="A7" s="38" t="s">
        <v>18</v>
      </c>
      <c r="B7" s="27" t="s">
        <v>40</v>
      </c>
      <c r="C7" s="56">
        <f>IF(CORREL('Országok mutatói'!G2:G7, 'Országok mutatói2'!$I$2:$I$7) &gt;= 0, 0, 1)</f>
        <v>1</v>
      </c>
      <c r="D7" s="27">
        <f>IF('Országok mutatói'!G2&lt; MEDIAN('Országok mutatói'!G2:G7), 0, 1)</f>
        <v>1</v>
      </c>
      <c r="E7" s="24" t="s">
        <v>50</v>
      </c>
    </row>
    <row r="8" spans="1:5" ht="15" thickBot="1" x14ac:dyDescent="0.35">
      <c r="A8" s="38" t="s">
        <v>1</v>
      </c>
      <c r="B8" s="27" t="s">
        <v>40</v>
      </c>
      <c r="C8" s="56">
        <f>IF(CORREL('Országok mutatói'!H2:H7, 'Országok mutatói2'!$I$2:$I$7) &gt;= 0, 0, 1)</f>
        <v>0</v>
      </c>
      <c r="D8" s="27">
        <f>IF('Országok mutatói'!H2&lt; MEDIAN('Országok mutatói'!H2:H7), 0, 1)</f>
        <v>0</v>
      </c>
      <c r="E8" s="24" t="s">
        <v>128</v>
      </c>
    </row>
    <row r="9" spans="1:5" ht="29.4" thickBot="1" x14ac:dyDescent="0.35">
      <c r="A9" s="38" t="s">
        <v>2</v>
      </c>
      <c r="B9" s="27" t="s">
        <v>24</v>
      </c>
      <c r="C9" s="56">
        <f>IF(CORREL('Országok mutatói2'!I2:I7, 'Országok mutatói2'!$I$2:$I$7) &gt;= 0, 0, 1)</f>
        <v>0</v>
      </c>
      <c r="D9" s="27">
        <f>IF('Országok mutatói2'!I2&lt; MEDIAN('Országok mutatói2'!I2:I7), 0, 1)</f>
        <v>0</v>
      </c>
      <c r="E9" s="24" t="s">
        <v>129</v>
      </c>
    </row>
    <row r="10" spans="1:5" ht="15" thickBot="1" x14ac:dyDescent="0.35">
      <c r="A10" s="38" t="s">
        <v>3</v>
      </c>
      <c r="B10" s="27" t="s">
        <v>41</v>
      </c>
      <c r="C10" s="56">
        <f>IF(CORREL('Országok mutatói'!I2:I7, 'Országok mutatói2'!$I$2:$I$7) &gt;= 0, 0, 1)</f>
        <v>1</v>
      </c>
      <c r="D10" s="27">
        <f>IF('Országok mutatói'!I2&lt; MEDIAN('Országok mutatói'!I2:I7), 0, 1)</f>
        <v>0</v>
      </c>
      <c r="E10" s="24" t="s">
        <v>51</v>
      </c>
    </row>
    <row r="11" spans="1:5" ht="29.4" thickBot="1" x14ac:dyDescent="0.35">
      <c r="A11" s="38" t="s">
        <v>4</v>
      </c>
      <c r="B11" s="27" t="s">
        <v>42</v>
      </c>
      <c r="C11" s="56">
        <f>IF(CORREL('Országok mutatói'!J2:J7, 'Országok mutatói2'!$I$2:$I$7) &gt;= 0, 0, 1)</f>
        <v>1</v>
      </c>
      <c r="D11" s="27">
        <f>IF('Országok mutatói'!J2&lt; MEDIAN('Országok mutatói'!J2:J7), 0, 1)</f>
        <v>0</v>
      </c>
      <c r="E11" s="24" t="s">
        <v>130</v>
      </c>
    </row>
    <row r="12" spans="1:5" ht="15" thickBot="1" x14ac:dyDescent="0.35">
      <c r="A12" s="38" t="s">
        <v>5</v>
      </c>
      <c r="B12" s="27" t="s">
        <v>42</v>
      </c>
      <c r="C12" s="56">
        <f>IF(CORREL('Országok mutatói'!K2:K7, 'Országok mutatói2'!$I$2:$I$7) &gt;= 0, 0, 1)</f>
        <v>1</v>
      </c>
      <c r="D12" s="27">
        <f>IF('Országok mutatói'!K2&lt; MEDIAN('Országok mutatói'!K2:K7), 0, 1)</f>
        <v>0</v>
      </c>
      <c r="E12" s="24" t="s">
        <v>79</v>
      </c>
    </row>
    <row r="13" spans="1:5" ht="29.4" thickBot="1" x14ac:dyDescent="0.35">
      <c r="A13" s="38" t="s">
        <v>20</v>
      </c>
      <c r="B13" s="27" t="s">
        <v>24</v>
      </c>
      <c r="C13" s="56">
        <f>IF(CORREL('Országok mutatói2'!J2:J7, 'Országok mutatói2'!$I$2:$I$7) &gt;= 0, 0, 1)</f>
        <v>0</v>
      </c>
      <c r="D13" s="27">
        <f>IF('Országok mutatói2'!J2&lt; MEDIAN('Országok mutatói2'!J2:J7), 0, 1)</f>
        <v>1</v>
      </c>
      <c r="E13" s="24" t="s">
        <v>131</v>
      </c>
    </row>
    <row r="14" spans="1:5" ht="29.4" thickBot="1" x14ac:dyDescent="0.35">
      <c r="A14" s="38" t="s">
        <v>6</v>
      </c>
      <c r="B14" s="27" t="s">
        <v>42</v>
      </c>
      <c r="C14" s="56">
        <f>IF(CORREL('Országok mutatói'!L2:L7, 'Országok mutatói2'!$I$2:$I$7) &gt;= 0, 0, 1)</f>
        <v>1</v>
      </c>
      <c r="D14" s="27">
        <f>IF('Országok mutatói'!L2&lt; MEDIAN('Országok mutatói'!L2:L7), 0, 1)</f>
        <v>0</v>
      </c>
      <c r="E14" s="24" t="s">
        <v>132</v>
      </c>
    </row>
    <row r="15" spans="1:5" ht="15" thickBot="1" x14ac:dyDescent="0.35">
      <c r="A15" s="38" t="s">
        <v>19</v>
      </c>
      <c r="B15" s="27" t="s">
        <v>24</v>
      </c>
      <c r="C15" s="56">
        <f>IF(CORREL('Országok mutatói2'!K2:K7, 'Országok mutatói2'!$I$2:$I$7) &gt;= 0, 0, 1)</f>
        <v>0</v>
      </c>
      <c r="D15" s="27">
        <f>IF('Országok mutatói2'!K2&lt; MEDIAN('Országok mutatói2'!K2:K7), 0, 1)</f>
        <v>1</v>
      </c>
      <c r="E15" s="24" t="s">
        <v>80</v>
      </c>
    </row>
    <row r="16" spans="1:5" ht="29.4" thickBot="1" x14ac:dyDescent="0.35">
      <c r="A16" s="38" t="s">
        <v>21</v>
      </c>
      <c r="B16" s="27" t="s">
        <v>42</v>
      </c>
      <c r="C16" s="56">
        <f>IF(CORREL('Országok mutatói2'!L2:L7, 'Országok mutatói2'!$I$2:$I$7) &gt;= 0, 0, 1)</f>
        <v>0</v>
      </c>
      <c r="D16" s="27">
        <f>IF('Országok mutatói2'!L2&lt; MEDIAN('Országok mutatói2'!L2:L7), 0, 1)</f>
        <v>1</v>
      </c>
      <c r="E16" s="24" t="s">
        <v>81</v>
      </c>
    </row>
    <row r="17" spans="1:5" ht="15" thickBot="1" x14ac:dyDescent="0.35">
      <c r="A17" s="38" t="s">
        <v>22</v>
      </c>
      <c r="B17" s="27" t="s">
        <v>24</v>
      </c>
      <c r="C17" s="56">
        <f>IF(CORREL('Országok mutatói2'!M2:M7, 'Országok mutatói2'!$I$2:$I$7) &gt;= 0, 0, 1)</f>
        <v>1</v>
      </c>
      <c r="D17" s="27">
        <f>IF('Országok mutatói2'!M2&lt; MEDIAN('Országok mutatói2'!M2:M7), 0, 1)</f>
        <v>1</v>
      </c>
      <c r="E17" s="24" t="s">
        <v>133</v>
      </c>
    </row>
    <row r="18" spans="1:5" ht="15" thickBot="1" x14ac:dyDescent="0.35">
      <c r="A18" s="38" t="s">
        <v>23</v>
      </c>
      <c r="B18" s="27" t="s">
        <v>24</v>
      </c>
      <c r="C18" s="56">
        <f>IF(CORREL('Országok mutatói2'!N2:N7, 'Országok mutatói2'!$I$2:$I$7) &gt;= 0, 0, 1)</f>
        <v>1</v>
      </c>
      <c r="D18" s="27">
        <f>IF('Országok mutatói2'!N2&lt; MEDIAN('Országok mutatói2'!N2:N7), 0, 1)</f>
        <v>1</v>
      </c>
      <c r="E18" s="24" t="s">
        <v>134</v>
      </c>
    </row>
    <row r="19" spans="1:5" ht="29.4" thickBot="1" x14ac:dyDescent="0.35">
      <c r="A19" s="39" t="s">
        <v>26</v>
      </c>
      <c r="B19" s="28" t="s">
        <v>43</v>
      </c>
      <c r="C19" s="56">
        <f>IF(CORREL('Országok mutatói2'!O2:O7, 'Országok mutatói2'!$I$2:$I$7) &gt;= 0, 0, 1)</f>
        <v>1</v>
      </c>
      <c r="D19" s="27">
        <f>IF('Országok mutatói2'!O2&lt; MEDIAN('Országok mutatói2'!O2:O7), 0, 1)</f>
        <v>1</v>
      </c>
      <c r="E19" s="25" t="s">
        <v>135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zoomScale="34" zoomScaleNormal="74" workbookViewId="0"/>
  </sheetViews>
  <sheetFormatPr defaultRowHeight="14.4" x14ac:dyDescent="0.3"/>
  <cols>
    <col min="1" max="1" width="13.109375" bestFit="1" customWidth="1"/>
    <col min="2" max="2" width="26.5546875" customWidth="1"/>
    <col min="3" max="3" width="25.5546875" bestFit="1" customWidth="1"/>
    <col min="4" max="4" width="41.109375" customWidth="1"/>
    <col min="5" max="5" width="24" bestFit="1" customWidth="1"/>
    <col min="6" max="6" width="30" customWidth="1"/>
    <col min="7" max="7" width="41.33203125" bestFit="1" customWidth="1"/>
    <col min="8" max="8" width="32" customWidth="1"/>
    <col min="9" max="9" width="29.109375" customWidth="1"/>
    <col min="10" max="10" width="31.33203125" customWidth="1"/>
    <col min="11" max="12" width="18.44140625" bestFit="1" customWidth="1"/>
    <col min="13" max="13" width="20.44140625" bestFit="1" customWidth="1"/>
    <col min="14" max="14" width="18.44140625" bestFit="1" customWidth="1"/>
    <col min="15" max="15" width="18.5546875" bestFit="1" customWidth="1"/>
    <col min="16" max="16" width="34.33203125" customWidth="1"/>
    <col min="17" max="17" width="35.44140625" customWidth="1"/>
    <col min="18" max="18" width="39.5546875" customWidth="1"/>
    <col min="19" max="19" width="50.44140625" bestFit="1" customWidth="1"/>
    <col min="20" max="20" width="22.88671875" customWidth="1"/>
  </cols>
  <sheetData>
    <row r="1" spans="1:20" ht="90.6" thickBot="1" x14ac:dyDescent="0.35">
      <c r="A1" s="95" t="s">
        <v>0</v>
      </c>
      <c r="B1" s="96" t="s">
        <v>104</v>
      </c>
      <c r="C1" s="96" t="s">
        <v>105</v>
      </c>
      <c r="D1" s="96" t="s">
        <v>106</v>
      </c>
      <c r="E1" s="96" t="s">
        <v>107</v>
      </c>
      <c r="F1" s="96" t="s">
        <v>108</v>
      </c>
      <c r="G1" s="96" t="s">
        <v>109</v>
      </c>
      <c r="H1" s="96" t="s">
        <v>110</v>
      </c>
      <c r="I1" s="96" t="s">
        <v>111</v>
      </c>
      <c r="J1" s="96" t="s">
        <v>112</v>
      </c>
      <c r="K1" s="96" t="s">
        <v>113</v>
      </c>
      <c r="L1" s="96" t="s">
        <v>114</v>
      </c>
      <c r="M1" s="96" t="s">
        <v>115</v>
      </c>
      <c r="N1" s="96" t="s">
        <v>116</v>
      </c>
      <c r="O1" s="96" t="s">
        <v>117</v>
      </c>
      <c r="P1" s="96" t="s">
        <v>118</v>
      </c>
      <c r="Q1" s="96" t="s">
        <v>119</v>
      </c>
      <c r="R1" s="96" t="s">
        <v>120</v>
      </c>
      <c r="S1" s="97" t="s">
        <v>121</v>
      </c>
      <c r="T1" s="97" t="s">
        <v>136</v>
      </c>
    </row>
    <row r="2" spans="1:20" x14ac:dyDescent="0.3">
      <c r="A2" s="35" t="s">
        <v>7</v>
      </c>
      <c r="B2" s="18">
        <f>IF('Országok mutatói'!B2 &lt; MEDIAN('Országok mutatói'!B$2:B$7), 0, 1)</f>
        <v>1</v>
      </c>
      <c r="C2" s="18">
        <f>IF('Országok mutatói'!C2 &lt; MEDIAN('Országok mutatói'!C$2:C$7), 0, 1)</f>
        <v>1</v>
      </c>
      <c r="D2" s="18">
        <f>IF('Országok mutatói'!D2 &lt; MEDIAN('Országok mutatói'!D$2:D$7), 0, 1)</f>
        <v>1</v>
      </c>
      <c r="E2" s="18">
        <f>IF('Országok mutatói'!E2 &lt; MEDIAN('Országok mutatói'!E$2:E$7), 0, 1)</f>
        <v>1</v>
      </c>
      <c r="F2" s="18">
        <f>IF('Országok mutatói'!F2 &lt; MEDIAN('Országok mutatói'!F$2:F$7), 0, 1)</f>
        <v>1</v>
      </c>
      <c r="G2" s="18">
        <f>IF('Országok mutatói'!G2 &lt; MEDIAN('Országok mutatói'!G$2:G$7), 0, 1)</f>
        <v>1</v>
      </c>
      <c r="H2" s="18">
        <f>IF('Országok mutatói'!H2 &lt; MEDIAN('Országok mutatói'!H$2:H$7), 0, 1)</f>
        <v>0</v>
      </c>
      <c r="I2" s="18">
        <f>IF('Országok mutatói2'!I2 &lt; MEDIAN('Országok mutatói2'!I$2:I$7), 0, 1)</f>
        <v>0</v>
      </c>
      <c r="J2" s="18">
        <f>IF('Országok mutatói'!I2 &lt; MEDIAN('Országok mutatói'!I$2:I$7), 0, 1)</f>
        <v>0</v>
      </c>
      <c r="K2" s="18">
        <f>IF('Országok mutatói'!J2 &lt; MEDIAN('Országok mutatói'!J$2:J$7), 0, 1)</f>
        <v>0</v>
      </c>
      <c r="L2" s="18">
        <f>IF('Országok mutatói'!K2 &lt; MEDIAN('Országok mutatói'!K$2:K$7), 0, 1)</f>
        <v>0</v>
      </c>
      <c r="M2" s="18">
        <f>IF('Országok mutatói2'!J2 &lt; MEDIAN('Országok mutatói2'!J$2:J$7), 0, 1)</f>
        <v>1</v>
      </c>
      <c r="N2" s="18">
        <f>IF('Országok mutatói'!L2 &lt; MEDIAN('Országok mutatói'!L$2:L$7), 0, 1)</f>
        <v>0</v>
      </c>
      <c r="O2" s="18">
        <f>IF('Országok mutatói2'!K2 &lt; MEDIAN('Országok mutatói2'!K$2:K$7), 0, 1)</f>
        <v>1</v>
      </c>
      <c r="P2" s="18">
        <f>IF('Országok mutatói2'!L2 &lt; MEDIAN('Országok mutatói2'!L$2:L$7), 0, 1)</f>
        <v>1</v>
      </c>
      <c r="Q2" s="18">
        <f>IF('Országok mutatói2'!M2 &lt; MEDIAN('Országok mutatói2'!M$2:M$7), 0, 1)</f>
        <v>1</v>
      </c>
      <c r="R2" s="18">
        <f>IF('Országok mutatói2'!N2 &lt; MEDIAN('Országok mutatói2'!N$2:N$7), 0, 1)</f>
        <v>1</v>
      </c>
      <c r="S2" s="18">
        <f>IF('Országok mutatói2'!O2 &lt; MEDIAN('Országok mutatói2'!O$2:O$7), 0, 1)</f>
        <v>1</v>
      </c>
      <c r="T2" s="100">
        <f>SUM(B2:S2)</f>
        <v>12</v>
      </c>
    </row>
    <row r="3" spans="1:20" x14ac:dyDescent="0.3">
      <c r="A3" s="5" t="s">
        <v>8</v>
      </c>
      <c r="B3" s="17">
        <f>IF('Országok mutatói'!B3 &lt; MEDIAN('Országok mutatói'!B$2:B$7), 0, 1)</f>
        <v>0</v>
      </c>
      <c r="C3" s="17">
        <f>IF('Országok mutatói'!C3 &lt; MEDIAN('Országok mutatói'!C$2:C$7), 0, 1)</f>
        <v>0</v>
      </c>
      <c r="D3" s="17">
        <f>IF('Országok mutatói'!D3 &lt; MEDIAN('Országok mutatói'!D$2:D$7), 0, 1)</f>
        <v>0</v>
      </c>
      <c r="E3" s="17">
        <f>IF('Országok mutatói'!E3 &lt; MEDIAN('Országok mutatói'!E$2:E$7), 0, 1)</f>
        <v>0</v>
      </c>
      <c r="F3" s="17">
        <f>IF('Országok mutatói'!F3 &lt; MEDIAN('Országok mutatói'!F$2:F$7), 0, 1)</f>
        <v>0</v>
      </c>
      <c r="G3" s="17">
        <f>IF('Országok mutatói'!G3 &lt; MEDIAN('Országok mutatói'!G$2:G$7), 0, 1)</f>
        <v>0</v>
      </c>
      <c r="H3" s="17">
        <f>IF('Országok mutatói'!H3 &lt; MEDIAN('Országok mutatói'!H$2:H$7), 0, 1)</f>
        <v>1</v>
      </c>
      <c r="I3" s="18">
        <f>IF('Országok mutatói2'!I3 &lt; MEDIAN('Országok mutatói2'!I$2:I$7), 0, 1)</f>
        <v>1</v>
      </c>
      <c r="J3" s="17">
        <f>IF('Országok mutatói'!I3 &lt; MEDIAN('Országok mutatói'!I$2:I$7), 0, 1)</f>
        <v>1</v>
      </c>
      <c r="K3" s="17">
        <f>IF('Országok mutatói'!J3 &lt; MEDIAN('Országok mutatói'!J$2:J$7), 0, 1)</f>
        <v>1</v>
      </c>
      <c r="L3" s="17">
        <f>IF('Országok mutatói'!K3 &lt; MEDIAN('Országok mutatói'!K$2:K$7), 0, 1)</f>
        <v>1</v>
      </c>
      <c r="M3" s="18">
        <f>IF('Országok mutatói2'!J3 &lt; MEDIAN('Országok mutatói2'!J$2:J$7), 0, 1)</f>
        <v>1</v>
      </c>
      <c r="N3" s="17">
        <f>IF('Országok mutatói'!L3 &lt; MEDIAN('Országok mutatói'!L$2:L$7), 0, 1)</f>
        <v>1</v>
      </c>
      <c r="O3" s="18">
        <f>IF('Országok mutatói2'!K3 &lt; MEDIAN('Országok mutatói2'!K$2:K$7), 0, 1)</f>
        <v>0</v>
      </c>
      <c r="P3" s="18">
        <f>IF('Országok mutatói2'!L3 &lt; MEDIAN('Országok mutatói2'!L$2:L$7), 0, 1)</f>
        <v>1</v>
      </c>
      <c r="Q3" s="18">
        <f>IF('Országok mutatói2'!M3 &lt; MEDIAN('Országok mutatói2'!M$2:M$7), 0, 1)</f>
        <v>0</v>
      </c>
      <c r="R3" s="18">
        <f>IF('Országok mutatói2'!N3 &lt; MEDIAN('Országok mutatói2'!N$2:N$7), 0, 1)</f>
        <v>0</v>
      </c>
      <c r="S3" s="18">
        <f>IF('Országok mutatói2'!O3 &lt; MEDIAN('Országok mutatói2'!O$2:O$7), 0, 1)</f>
        <v>0</v>
      </c>
      <c r="T3" s="100">
        <f t="shared" ref="T3:T7" si="0">SUM(B3:S3)</f>
        <v>8</v>
      </c>
    </row>
    <row r="4" spans="1:20" x14ac:dyDescent="0.3">
      <c r="A4" s="5" t="s">
        <v>9</v>
      </c>
      <c r="B4" s="17">
        <f>IF('Országok mutatói'!B4 &lt; MEDIAN('Országok mutatói'!B$2:B$7), 0, 1)</f>
        <v>1</v>
      </c>
      <c r="C4" s="17">
        <f>IF('Országok mutatói'!C4 &lt; MEDIAN('Országok mutatói'!C$2:C$7), 0, 1)</f>
        <v>1</v>
      </c>
      <c r="D4" s="17">
        <f>IF('Országok mutatói'!D4 &lt; MEDIAN('Országok mutatói'!D$2:D$7), 0, 1)</f>
        <v>1</v>
      </c>
      <c r="E4" s="17">
        <f>IF('Országok mutatói'!E4 &lt; MEDIAN('Országok mutatói'!E$2:E$7), 0, 1)</f>
        <v>1</v>
      </c>
      <c r="F4" s="17">
        <f>IF('Országok mutatói'!F4 &lt; MEDIAN('Országok mutatói'!F$2:F$7), 0, 1)</f>
        <v>1</v>
      </c>
      <c r="G4" s="17">
        <f>IF('Országok mutatói'!G4 &lt; MEDIAN('Országok mutatói'!G$2:G$7), 0, 1)</f>
        <v>1</v>
      </c>
      <c r="H4" s="17">
        <f>IF('Országok mutatói'!H4 &lt; MEDIAN('Országok mutatói'!H$2:H$7), 0, 1)</f>
        <v>1</v>
      </c>
      <c r="I4" s="18">
        <f>IF('Országok mutatói2'!I4 &lt; MEDIAN('Országok mutatói2'!I$2:I$7), 0, 1)</f>
        <v>1</v>
      </c>
      <c r="J4" s="17">
        <f>IF('Országok mutatói'!I4 &lt; MEDIAN('Országok mutatói'!I$2:I$7), 0, 1)</f>
        <v>1</v>
      </c>
      <c r="K4" s="17">
        <f>IF('Országok mutatói'!J4 &lt; MEDIAN('Országok mutatói'!J$2:J$7), 0, 1)</f>
        <v>0</v>
      </c>
      <c r="L4" s="17">
        <f>IF('Országok mutatói'!K4 &lt; MEDIAN('Országok mutatói'!K$2:K$7), 0, 1)</f>
        <v>1</v>
      </c>
      <c r="M4" s="18">
        <f>IF('Országok mutatói2'!J4 &lt; MEDIAN('Országok mutatói2'!J$2:J$7), 0, 1)</f>
        <v>0</v>
      </c>
      <c r="N4" s="17">
        <f>IF('Országok mutatói'!L4 &lt; MEDIAN('Országok mutatói'!L$2:L$7), 0, 1)</f>
        <v>1</v>
      </c>
      <c r="O4" s="18">
        <f>IF('Országok mutatói2'!K4 &lt; MEDIAN('Országok mutatói2'!K$2:K$7), 0, 1)</f>
        <v>1</v>
      </c>
      <c r="P4" s="18">
        <f>IF('Országok mutatói2'!L4 &lt; MEDIAN('Országok mutatói2'!L$2:L$7), 0, 1)</f>
        <v>0</v>
      </c>
      <c r="Q4" s="18">
        <f>IF('Országok mutatói2'!M4 &lt; MEDIAN('Országok mutatói2'!M$2:M$7), 0, 1)</f>
        <v>0</v>
      </c>
      <c r="R4" s="18">
        <f>IF('Országok mutatói2'!N4 &lt; MEDIAN('Országok mutatói2'!N$2:N$7), 0, 1)</f>
        <v>1</v>
      </c>
      <c r="S4" s="18">
        <f>IF('Országok mutatói2'!O4 &lt; MEDIAN('Országok mutatói2'!O$2:O$7), 0, 1)</f>
        <v>1</v>
      </c>
      <c r="T4" s="100">
        <f t="shared" si="0"/>
        <v>14</v>
      </c>
    </row>
    <row r="5" spans="1:20" x14ac:dyDescent="0.3">
      <c r="A5" s="5" t="s">
        <v>10</v>
      </c>
      <c r="B5" s="17">
        <f>IF('Országok mutatói'!B5 &lt; MEDIAN('Országok mutatói'!B$2:B$7), 0, 1)</f>
        <v>0</v>
      </c>
      <c r="C5" s="17">
        <f>IF('Országok mutatói'!C5 &lt; MEDIAN('Országok mutatói'!C$2:C$7), 0, 1)</f>
        <v>0</v>
      </c>
      <c r="D5" s="17">
        <f>IF('Országok mutatói'!D5 &lt; MEDIAN('Országok mutatói'!D$2:D$7), 0, 1)</f>
        <v>0</v>
      </c>
      <c r="E5" s="17">
        <f>IF('Országok mutatói'!E5 &lt; MEDIAN('Országok mutatói'!E$2:E$7), 0, 1)</f>
        <v>0</v>
      </c>
      <c r="F5" s="17">
        <f>IF('Országok mutatói'!F5 &lt; MEDIAN('Országok mutatói'!F$2:F$7), 0, 1)</f>
        <v>0</v>
      </c>
      <c r="G5" s="17">
        <f>IF('Országok mutatói'!G5 &lt; MEDIAN('Országok mutatói'!G$2:G$7), 0, 1)</f>
        <v>0</v>
      </c>
      <c r="H5" s="17">
        <f>IF('Országok mutatói'!H5 &lt; MEDIAN('Országok mutatói'!H$2:H$7), 0, 1)</f>
        <v>0</v>
      </c>
      <c r="I5" s="18">
        <f>IF('Országok mutatói2'!I5 &lt; MEDIAN('Országok mutatói2'!I$2:I$7), 0, 1)</f>
        <v>0</v>
      </c>
      <c r="J5" s="17">
        <f>IF('Országok mutatói'!I5 &lt; MEDIAN('Országok mutatói'!I$2:I$7), 0, 1)</f>
        <v>0</v>
      </c>
      <c r="K5" s="17">
        <f>IF('Országok mutatói'!J5 &lt; MEDIAN('Országok mutatói'!J$2:J$7), 0, 1)</f>
        <v>0</v>
      </c>
      <c r="L5" s="17">
        <f>IF('Országok mutatói'!K5 &lt; MEDIAN('Országok mutatói'!K$2:K$7), 0, 1)</f>
        <v>0</v>
      </c>
      <c r="M5" s="18">
        <f>IF('Országok mutatói2'!J5 &lt; MEDIAN('Országok mutatói2'!J$2:J$7), 0, 1)</f>
        <v>0</v>
      </c>
      <c r="N5" s="17">
        <f>IF('Országok mutatói'!L5 &lt; MEDIAN('Országok mutatói'!L$2:L$7), 0, 1)</f>
        <v>0</v>
      </c>
      <c r="O5" s="18">
        <f>IF('Országok mutatói2'!K5 &lt; MEDIAN('Országok mutatói2'!K$2:K$7), 0, 1)</f>
        <v>0</v>
      </c>
      <c r="P5" s="18">
        <f>IF('Országok mutatói2'!L5 &lt; MEDIAN('Országok mutatói2'!L$2:L$7), 0, 1)</f>
        <v>0</v>
      </c>
      <c r="Q5" s="18">
        <f>IF('Országok mutatói2'!M5 &lt; MEDIAN('Országok mutatói2'!M$2:M$7), 0, 1)</f>
        <v>1</v>
      </c>
      <c r="R5" s="18">
        <f>IF('Országok mutatói2'!N5 &lt; MEDIAN('Országok mutatói2'!N$2:N$7), 0, 1)</f>
        <v>1</v>
      </c>
      <c r="S5" s="18">
        <f>IF('Országok mutatói2'!O5 &lt; MEDIAN('Országok mutatói2'!O$2:O$7), 0, 1)</f>
        <v>1</v>
      </c>
      <c r="T5" s="100">
        <f t="shared" si="0"/>
        <v>3</v>
      </c>
    </row>
    <row r="6" spans="1:20" x14ac:dyDescent="0.3">
      <c r="A6" s="5" t="s">
        <v>11</v>
      </c>
      <c r="B6" s="17">
        <f>IF('Országok mutatói'!B6 &lt; MEDIAN('Országok mutatói'!B$2:B$7), 0, 1)</f>
        <v>0</v>
      </c>
      <c r="C6" s="17">
        <f>IF('Országok mutatói'!C6 &lt; MEDIAN('Országok mutatói'!C$2:C$7), 0, 1)</f>
        <v>0</v>
      </c>
      <c r="D6" s="17">
        <f>IF('Országok mutatói'!D6 &lt; MEDIAN('Országok mutatói'!D$2:D$7), 0, 1)</f>
        <v>0</v>
      </c>
      <c r="E6" s="17">
        <f>IF('Országok mutatói'!E6 &lt; MEDIAN('Országok mutatói'!E$2:E$7), 0, 1)</f>
        <v>0</v>
      </c>
      <c r="F6" s="17">
        <f>IF('Országok mutatói'!F6 &lt; MEDIAN('Országok mutatói'!F$2:F$7), 0, 1)</f>
        <v>0</v>
      </c>
      <c r="G6" s="17">
        <f>IF('Országok mutatói'!G6 &lt; MEDIAN('Országok mutatói'!G$2:G$7), 0, 1)</f>
        <v>0</v>
      </c>
      <c r="H6" s="17">
        <f>IF('Országok mutatói'!H6 &lt; MEDIAN('Országok mutatói'!H$2:H$7), 0, 1)</f>
        <v>0</v>
      </c>
      <c r="I6" s="18">
        <f>IF('Országok mutatói2'!I6 &lt; MEDIAN('Országok mutatói2'!I$2:I$7), 0, 1)</f>
        <v>0</v>
      </c>
      <c r="J6" s="17">
        <f>IF('Országok mutatói'!I6 &lt; MEDIAN('Országok mutatói'!I$2:I$7), 0, 1)</f>
        <v>0</v>
      </c>
      <c r="K6" s="17">
        <f>IF('Országok mutatói'!J6 &lt; MEDIAN('Országok mutatói'!J$2:J$7), 0, 1)</f>
        <v>1</v>
      </c>
      <c r="L6" s="17">
        <f>IF('Országok mutatói'!K6 &lt; MEDIAN('Országok mutatói'!K$2:K$7), 0, 1)</f>
        <v>0</v>
      </c>
      <c r="M6" s="18">
        <f>IF('Országok mutatói2'!J6 &lt; MEDIAN('Országok mutatói2'!J$2:J$7), 0, 1)</f>
        <v>1</v>
      </c>
      <c r="N6" s="17">
        <f>IF('Országok mutatói'!L6 &lt; MEDIAN('Országok mutatói'!L$2:L$7), 0, 1)</f>
        <v>0</v>
      </c>
      <c r="O6" s="18">
        <f>IF('Országok mutatói2'!K6 &lt; MEDIAN('Országok mutatói2'!K$2:K$7), 0, 1)</f>
        <v>1</v>
      </c>
      <c r="P6" s="18">
        <f>IF('Országok mutatói2'!L6 &lt; MEDIAN('Országok mutatói2'!L$2:L$7), 0, 1)</f>
        <v>1</v>
      </c>
      <c r="Q6" s="18">
        <f>IF('Országok mutatói2'!M6 &lt; MEDIAN('Országok mutatói2'!M$2:M$7), 0, 1)</f>
        <v>1</v>
      </c>
      <c r="R6" s="18">
        <f>IF('Országok mutatói2'!N6 &lt; MEDIAN('Országok mutatói2'!N$2:N$7), 0, 1)</f>
        <v>0</v>
      </c>
      <c r="S6" s="18">
        <f>IF('Országok mutatói2'!O6 &lt; MEDIAN('Országok mutatói2'!O$2:O$7), 0, 1)</f>
        <v>0</v>
      </c>
      <c r="T6" s="100">
        <f t="shared" si="0"/>
        <v>5</v>
      </c>
    </row>
    <row r="7" spans="1:20" ht="15" thickBot="1" x14ac:dyDescent="0.35">
      <c r="A7" s="36" t="s">
        <v>12</v>
      </c>
      <c r="B7" s="21">
        <f>IF('Országok mutatói'!B7 &lt; MEDIAN('Országok mutatói'!B$2:B$7), 0, 1)</f>
        <v>1</v>
      </c>
      <c r="C7" s="21">
        <f>IF('Országok mutatói'!C7 &lt; MEDIAN('Országok mutatói'!C$2:C$7), 0, 1)</f>
        <v>1</v>
      </c>
      <c r="D7" s="21">
        <f>IF('Országok mutatói'!D7 &lt; MEDIAN('Országok mutatói'!D$2:D$7), 0, 1)</f>
        <v>1</v>
      </c>
      <c r="E7" s="21">
        <f>IF('Országok mutatói'!E7 &lt; MEDIAN('Országok mutatói'!E$2:E$7), 0, 1)</f>
        <v>1</v>
      </c>
      <c r="F7" s="21">
        <f>IF('Országok mutatói'!F7 &lt; MEDIAN('Országok mutatói'!F$2:F$7), 0, 1)</f>
        <v>1</v>
      </c>
      <c r="G7" s="21">
        <f>IF('Országok mutatói'!G7 &lt; MEDIAN('Országok mutatói'!G$2:G$7), 0, 1)</f>
        <v>1</v>
      </c>
      <c r="H7" s="21">
        <f>IF('Országok mutatói'!H7 &lt; MEDIAN('Országok mutatói'!H$2:H$7), 0, 1)</f>
        <v>1</v>
      </c>
      <c r="I7" s="18">
        <f>IF('Országok mutatói2'!I7 &lt; MEDIAN('Országok mutatói2'!I$2:I$7), 0, 1)</f>
        <v>1</v>
      </c>
      <c r="J7" s="21">
        <f>IF('Országok mutatói'!I7 &lt; MEDIAN('Országok mutatói'!I$2:I$7), 0, 1)</f>
        <v>1</v>
      </c>
      <c r="K7" s="21">
        <f>IF('Országok mutatói'!J7 &lt; MEDIAN('Országok mutatói'!J$2:J$7), 0, 1)</f>
        <v>1</v>
      </c>
      <c r="L7" s="21">
        <f>IF('Országok mutatói'!K7 &lt; MEDIAN('Országok mutatói'!K$2:K$7), 0, 1)</f>
        <v>1</v>
      </c>
      <c r="M7" s="18">
        <f>IF('Országok mutatói2'!J7 &lt; MEDIAN('Országok mutatói2'!J$2:J$7), 0, 1)</f>
        <v>0</v>
      </c>
      <c r="N7" s="21">
        <f>IF('Országok mutatói'!L7 &lt; MEDIAN('Országok mutatói'!L$2:L$7), 0, 1)</f>
        <v>1</v>
      </c>
      <c r="O7" s="18">
        <f>IF('Országok mutatói2'!K7 &lt; MEDIAN('Országok mutatói2'!K$2:K$7), 0, 1)</f>
        <v>0</v>
      </c>
      <c r="P7" s="18">
        <f>IF('Országok mutatói2'!L7 &lt; MEDIAN('Országok mutatói2'!L$2:L$7), 0, 1)</f>
        <v>0</v>
      </c>
      <c r="Q7" s="18">
        <f>IF('Országok mutatói2'!M7 &lt; MEDIAN('Országok mutatói2'!M$2:M$7), 0, 1)</f>
        <v>0</v>
      </c>
      <c r="R7" s="18">
        <f>IF('Országok mutatói2'!N7 &lt; MEDIAN('Országok mutatói2'!N$2:N$7), 0, 1)</f>
        <v>0</v>
      </c>
      <c r="S7" s="18">
        <f>IF('Országok mutatói2'!O7 &lt; MEDIAN('Országok mutatói2'!O$2:O$7), 0, 1)</f>
        <v>0</v>
      </c>
      <c r="T7" s="100">
        <f t="shared" si="0"/>
        <v>12</v>
      </c>
    </row>
    <row r="10" spans="1:20" x14ac:dyDescent="0.3">
      <c r="A10" s="4"/>
      <c r="B10" s="4"/>
      <c r="C10" s="4"/>
      <c r="D10" s="4"/>
    </row>
    <row r="11" spans="1:20" x14ac:dyDescent="0.3">
      <c r="A11" s="4"/>
      <c r="B11" s="4"/>
      <c r="C11" s="4"/>
      <c r="D11" s="4"/>
    </row>
    <row r="12" spans="1:20" x14ac:dyDescent="0.3">
      <c r="A12" s="4"/>
      <c r="B12" s="4"/>
      <c r="C12" s="4"/>
      <c r="D12" s="4"/>
    </row>
    <row r="13" spans="1:20" x14ac:dyDescent="0.3">
      <c r="A13" s="4"/>
      <c r="B13" s="4"/>
      <c r="C13" s="4"/>
      <c r="D13" s="4"/>
    </row>
    <row r="14" spans="1:20" x14ac:dyDescent="0.3">
      <c r="A14" s="4"/>
      <c r="B14" s="4"/>
      <c r="C14" s="4"/>
      <c r="D14" s="4"/>
    </row>
    <row r="15" spans="1:20" x14ac:dyDescent="0.3">
      <c r="A15" s="4"/>
      <c r="B15" s="4"/>
      <c r="C15" s="4"/>
      <c r="D15" s="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zoomScale="47" zoomScaleNormal="60" workbookViewId="0"/>
  </sheetViews>
  <sheetFormatPr defaultRowHeight="14.4" x14ac:dyDescent="0.3"/>
  <cols>
    <col min="1" max="1" width="41.33203125" customWidth="1"/>
    <col min="2" max="2" width="36.6640625" bestFit="1" customWidth="1"/>
    <col min="3" max="3" width="17.5546875" bestFit="1" customWidth="1"/>
    <col min="4" max="4" width="35.88671875" bestFit="1" customWidth="1"/>
    <col min="5" max="5" width="33.5546875" bestFit="1" customWidth="1"/>
    <col min="6" max="7" width="42.5546875" bestFit="1" customWidth="1"/>
    <col min="8" max="8" width="32.33203125" bestFit="1" customWidth="1"/>
    <col min="9" max="9" width="47.6640625" bestFit="1" customWidth="1"/>
    <col min="10" max="10" width="30.33203125" bestFit="1" customWidth="1"/>
  </cols>
  <sheetData>
    <row r="1" spans="1:10" ht="18.600000000000001" thickBot="1" x14ac:dyDescent="0.4">
      <c r="A1" s="29" t="s">
        <v>7</v>
      </c>
      <c r="H1" s="209" t="s">
        <v>99</v>
      </c>
      <c r="I1" s="210"/>
    </row>
    <row r="2" spans="1:10" ht="29.25" customHeight="1" thickBot="1" x14ac:dyDescent="0.35">
      <c r="A2" s="90" t="s">
        <v>88</v>
      </c>
      <c r="B2" s="91" t="s">
        <v>52</v>
      </c>
      <c r="C2" s="91" t="s">
        <v>89</v>
      </c>
      <c r="D2" s="91" t="s">
        <v>90</v>
      </c>
      <c r="E2" s="91" t="s">
        <v>91</v>
      </c>
      <c r="F2" s="92" t="s">
        <v>87</v>
      </c>
      <c r="H2" s="59" t="s">
        <v>98</v>
      </c>
      <c r="I2" s="60" t="s">
        <v>54</v>
      </c>
    </row>
    <row r="3" spans="1:10" ht="32.25" customHeight="1" x14ac:dyDescent="0.3">
      <c r="A3" s="93" t="s">
        <v>14</v>
      </c>
      <c r="B3" s="73">
        <f>'Országok mutatói'!C2</f>
        <v>30000</v>
      </c>
      <c r="C3" s="73">
        <f>(B3-J11)/(I11-J11)</f>
        <v>0.25531914893617019</v>
      </c>
      <c r="D3" s="74">
        <f>C60</f>
        <v>0.33</v>
      </c>
      <c r="E3" s="73">
        <f>C3*D3</f>
        <v>8.4255319148936164E-2</v>
      </c>
      <c r="F3" s="94" t="s">
        <v>82</v>
      </c>
      <c r="H3" s="57">
        <v>0.05</v>
      </c>
      <c r="I3" s="20" t="s">
        <v>92</v>
      </c>
    </row>
    <row r="4" spans="1:10" ht="18" customHeight="1" x14ac:dyDescent="0.3">
      <c r="A4" s="67" t="s">
        <v>15</v>
      </c>
      <c r="B4" s="63">
        <f>'Országok mutatói'!D2</f>
        <v>20000</v>
      </c>
      <c r="C4" s="63">
        <f t="shared" ref="C4:C7" si="0">(B4-J12)/(I12-J12)</f>
        <v>0.21052631578947367</v>
      </c>
      <c r="D4" s="74">
        <f t="shared" ref="D4:D7" si="1">C61</f>
        <v>0.25</v>
      </c>
      <c r="E4" s="63">
        <f t="shared" ref="E4:E7" si="2">C4*D4</f>
        <v>5.2631578947368418E-2</v>
      </c>
      <c r="F4" s="20" t="s">
        <v>83</v>
      </c>
      <c r="H4" s="57">
        <v>0.1</v>
      </c>
      <c r="I4" s="20" t="s">
        <v>93</v>
      </c>
    </row>
    <row r="5" spans="1:10" ht="19.5" customHeight="1" x14ac:dyDescent="0.3">
      <c r="A5" s="67" t="s">
        <v>16</v>
      </c>
      <c r="B5" s="63">
        <f>'Országok mutatói'!E2</f>
        <v>8000</v>
      </c>
      <c r="C5" s="63">
        <f t="shared" si="0"/>
        <v>0.21428571428571427</v>
      </c>
      <c r="D5" s="74">
        <f t="shared" si="1"/>
        <v>0.16</v>
      </c>
      <c r="E5" s="63">
        <f t="shared" si="2"/>
        <v>3.4285714285714287E-2</v>
      </c>
      <c r="F5" s="20" t="s">
        <v>84</v>
      </c>
      <c r="H5" s="57" t="s">
        <v>94</v>
      </c>
      <c r="I5" s="20" t="s">
        <v>95</v>
      </c>
    </row>
    <row r="6" spans="1:10" ht="20.25" customHeight="1" thickBot="1" x14ac:dyDescent="0.35">
      <c r="A6" s="67" t="s">
        <v>17</v>
      </c>
      <c r="B6" s="63">
        <f>'Országok mutatói'!F2</f>
        <v>6000</v>
      </c>
      <c r="C6" s="63">
        <f t="shared" si="0"/>
        <v>0.26315789473684209</v>
      </c>
      <c r="D6" s="74">
        <f t="shared" si="1"/>
        <v>0.16</v>
      </c>
      <c r="E6" s="63">
        <f t="shared" si="2"/>
        <v>4.2105263157894736E-2</v>
      </c>
      <c r="F6" s="20" t="s">
        <v>85</v>
      </c>
      <c r="H6" s="58" t="s">
        <v>96</v>
      </c>
      <c r="I6" s="22" t="s">
        <v>97</v>
      </c>
    </row>
    <row r="7" spans="1:10" ht="16.5" customHeight="1" thickBot="1" x14ac:dyDescent="0.35">
      <c r="A7" s="68" t="s">
        <v>18</v>
      </c>
      <c r="B7" s="72">
        <f>'Országok mutatói'!G2</f>
        <v>4000</v>
      </c>
      <c r="C7" s="72">
        <f t="shared" si="0"/>
        <v>0.33333333333333331</v>
      </c>
      <c r="D7" s="74">
        <f t="shared" si="1"/>
        <v>0.1</v>
      </c>
      <c r="E7" s="72">
        <f t="shared" si="2"/>
        <v>3.3333333333333333E-2</v>
      </c>
      <c r="F7" s="22" t="s">
        <v>86</v>
      </c>
    </row>
    <row r="8" spans="1:10" ht="29.4" thickBot="1" x14ac:dyDescent="0.35">
      <c r="A8" s="81" t="s">
        <v>103</v>
      </c>
      <c r="B8" s="80"/>
      <c r="C8" s="80"/>
      <c r="D8" s="80"/>
      <c r="E8" s="79">
        <f>SUM(E3:E7)</f>
        <v>0.24661120887324692</v>
      </c>
    </row>
    <row r="9" spans="1:10" ht="15" thickBot="1" x14ac:dyDescent="0.35"/>
    <row r="10" spans="1:10" ht="18.600000000000001" thickBot="1" x14ac:dyDescent="0.4">
      <c r="A10" s="86" t="s">
        <v>8</v>
      </c>
      <c r="H10" s="64" t="s">
        <v>100</v>
      </c>
      <c r="I10" s="65" t="s">
        <v>101</v>
      </c>
      <c r="J10" s="66" t="s">
        <v>102</v>
      </c>
    </row>
    <row r="11" spans="1:10" ht="15" thickBot="1" x14ac:dyDescent="0.35">
      <c r="A11" s="90" t="s">
        <v>88</v>
      </c>
      <c r="B11" s="91" t="s">
        <v>52</v>
      </c>
      <c r="C11" s="91" t="s">
        <v>89</v>
      </c>
      <c r="D11" s="91" t="s">
        <v>90</v>
      </c>
      <c r="E11" s="91" t="s">
        <v>91</v>
      </c>
      <c r="F11" s="92" t="s">
        <v>87</v>
      </c>
      <c r="H11" s="67" t="s">
        <v>14</v>
      </c>
      <c r="I11" s="49">
        <f>MAX('Országok mutatói'!C2:C7)</f>
        <v>100000</v>
      </c>
      <c r="J11" s="69">
        <f>MIN('Országok mutatói'!C2:C7)</f>
        <v>6000</v>
      </c>
    </row>
    <row r="12" spans="1:10" ht="15" thickBot="1" x14ac:dyDescent="0.35">
      <c r="A12" s="75" t="s">
        <v>14</v>
      </c>
      <c r="B12" s="76">
        <f>'Országok mutatói'!C3</f>
        <v>20000</v>
      </c>
      <c r="C12" s="76">
        <f>(B12-J11)/(I11-J11)</f>
        <v>0.14893617021276595</v>
      </c>
      <c r="D12" s="77">
        <f>C60</f>
        <v>0.33</v>
      </c>
      <c r="E12" s="76">
        <f>C12*D12</f>
        <v>4.9148936170212765E-2</v>
      </c>
      <c r="F12" s="19" t="s">
        <v>82</v>
      </c>
      <c r="H12" s="67" t="s">
        <v>15</v>
      </c>
      <c r="I12" s="49">
        <f>MAX('Országok mutatói'!D2:D7)</f>
        <v>80000</v>
      </c>
      <c r="J12" s="69">
        <f>MIN('Országok mutatói'!D2:D7)</f>
        <v>4000</v>
      </c>
    </row>
    <row r="13" spans="1:10" ht="15" thickBot="1" x14ac:dyDescent="0.35">
      <c r="A13" s="67" t="s">
        <v>15</v>
      </c>
      <c r="B13" s="63">
        <f>'Országok mutatói'!D3</f>
        <v>15000</v>
      </c>
      <c r="C13" s="63">
        <f t="shared" ref="C13:C16" si="3">(B13-J12)/(I12-J12)</f>
        <v>0.14473684210526316</v>
      </c>
      <c r="D13" s="77">
        <f t="shared" ref="D13:D16" si="4">C61</f>
        <v>0.25</v>
      </c>
      <c r="E13" s="63">
        <f t="shared" ref="E13:E16" si="5">C13*D13</f>
        <v>3.6184210526315791E-2</v>
      </c>
      <c r="F13" s="20" t="s">
        <v>83</v>
      </c>
      <c r="H13" s="67" t="s">
        <v>16</v>
      </c>
      <c r="I13" s="49">
        <f>MAX('Országok mutatói'!E2:E7)</f>
        <v>30000</v>
      </c>
      <c r="J13" s="69">
        <f>MIN('Országok mutatói'!E2:E7)</f>
        <v>2000</v>
      </c>
    </row>
    <row r="14" spans="1:10" ht="15" thickBot="1" x14ac:dyDescent="0.35">
      <c r="A14" s="67" t="s">
        <v>16</v>
      </c>
      <c r="B14" s="63">
        <f>'Országok mutatói'!E3</f>
        <v>6000</v>
      </c>
      <c r="C14" s="63">
        <f t="shared" si="3"/>
        <v>0.14285714285714285</v>
      </c>
      <c r="D14" s="77">
        <f t="shared" si="4"/>
        <v>0.16</v>
      </c>
      <c r="E14" s="63">
        <f t="shared" si="5"/>
        <v>2.2857142857142857E-2</v>
      </c>
      <c r="F14" s="20" t="s">
        <v>84</v>
      </c>
      <c r="H14" s="67" t="s">
        <v>17</v>
      </c>
      <c r="I14" s="49">
        <f>MAX('Országok mutatói'!F2:F7)</f>
        <v>20000</v>
      </c>
      <c r="J14" s="69">
        <f>MIN('Országok mutatói'!F2:F7)</f>
        <v>1000</v>
      </c>
    </row>
    <row r="15" spans="1:10" ht="15" thickBot="1" x14ac:dyDescent="0.35">
      <c r="A15" s="67" t="s">
        <v>17</v>
      </c>
      <c r="B15" s="63">
        <f>'Országok mutatói'!F3</f>
        <v>4000</v>
      </c>
      <c r="C15" s="63">
        <f t="shared" si="3"/>
        <v>0.15789473684210525</v>
      </c>
      <c r="D15" s="77">
        <f t="shared" si="4"/>
        <v>0.16</v>
      </c>
      <c r="E15" s="63">
        <f t="shared" si="5"/>
        <v>2.5263157894736842E-2</v>
      </c>
      <c r="F15" s="20" t="s">
        <v>85</v>
      </c>
      <c r="H15" s="68" t="s">
        <v>18</v>
      </c>
      <c r="I15" s="54">
        <f>MAX('Országok mutatói'!G2:G7)</f>
        <v>10000</v>
      </c>
      <c r="J15" s="70">
        <f>MIN('Országok mutatói'!G2:G7)</f>
        <v>1000</v>
      </c>
    </row>
    <row r="16" spans="1:10" ht="15" thickBot="1" x14ac:dyDescent="0.35">
      <c r="A16" s="68" t="s">
        <v>18</v>
      </c>
      <c r="B16" s="72">
        <f>'Országok mutatói'!G3</f>
        <v>2000</v>
      </c>
      <c r="C16" s="72">
        <f t="shared" si="3"/>
        <v>0.1111111111111111</v>
      </c>
      <c r="D16" s="77">
        <f t="shared" si="4"/>
        <v>0.1</v>
      </c>
      <c r="E16" s="72">
        <f t="shared" si="5"/>
        <v>1.1111111111111112E-2</v>
      </c>
      <c r="F16" s="22" t="s">
        <v>86</v>
      </c>
    </row>
    <row r="17" spans="1:6" ht="29.4" thickBot="1" x14ac:dyDescent="0.35">
      <c r="A17" s="81" t="s">
        <v>103</v>
      </c>
      <c r="B17" s="78"/>
      <c r="C17" s="78"/>
      <c r="D17" s="78"/>
      <c r="E17" s="79">
        <f>SUM(E12:E16)</f>
        <v>0.14456455855951936</v>
      </c>
      <c r="F17" s="62"/>
    </row>
    <row r="18" spans="1:6" ht="15" thickBot="1" x14ac:dyDescent="0.35">
      <c r="A18" s="61"/>
      <c r="B18" s="61"/>
      <c r="C18" s="61"/>
      <c r="D18" s="61"/>
      <c r="E18" s="61"/>
      <c r="F18" s="62"/>
    </row>
    <row r="19" spans="1:6" ht="18.600000000000001" thickBot="1" x14ac:dyDescent="0.4">
      <c r="A19" s="86" t="s">
        <v>9</v>
      </c>
      <c r="B19" s="61"/>
      <c r="C19" s="61"/>
      <c r="D19" s="61"/>
      <c r="E19" s="61"/>
      <c r="F19" s="62"/>
    </row>
    <row r="20" spans="1:6" x14ac:dyDescent="0.3">
      <c r="A20" s="87" t="s">
        <v>88</v>
      </c>
      <c r="B20" s="88" t="s">
        <v>52</v>
      </c>
      <c r="C20" s="88" t="s">
        <v>89</v>
      </c>
      <c r="D20" s="88" t="s">
        <v>90</v>
      </c>
      <c r="E20" s="88" t="s">
        <v>91</v>
      </c>
      <c r="F20" s="89" t="s">
        <v>87</v>
      </c>
    </row>
    <row r="21" spans="1:6" x14ac:dyDescent="0.3">
      <c r="A21" s="67" t="s">
        <v>14</v>
      </c>
      <c r="B21" s="63">
        <f>'Országok mutatói'!C4</f>
        <v>70000</v>
      </c>
      <c r="C21" s="63">
        <f>(B21-J11)/(I11-J11)</f>
        <v>0.68085106382978722</v>
      </c>
      <c r="D21" s="71">
        <f>C60</f>
        <v>0.33</v>
      </c>
      <c r="E21" s="63">
        <f>C21*D21</f>
        <v>0.22468085106382979</v>
      </c>
      <c r="F21" s="20" t="s">
        <v>82</v>
      </c>
    </row>
    <row r="22" spans="1:6" x14ac:dyDescent="0.3">
      <c r="A22" s="67" t="s">
        <v>15</v>
      </c>
      <c r="B22" s="63">
        <f>'Országok mutatói'!D4</f>
        <v>30000</v>
      </c>
      <c r="C22" s="63">
        <f t="shared" ref="C22:C25" si="6">(B22-J12)/(I12-J12)</f>
        <v>0.34210526315789475</v>
      </c>
      <c r="D22" s="71">
        <f t="shared" ref="D22:D25" si="7">C61</f>
        <v>0.25</v>
      </c>
      <c r="E22" s="63">
        <f t="shared" ref="E22:E25" si="8">C22*D22</f>
        <v>8.5526315789473686E-2</v>
      </c>
      <c r="F22" s="20" t="s">
        <v>83</v>
      </c>
    </row>
    <row r="23" spans="1:6" x14ac:dyDescent="0.3">
      <c r="A23" s="67" t="s">
        <v>16</v>
      </c>
      <c r="B23" s="63">
        <f>'Országok mutatói'!E4</f>
        <v>10000</v>
      </c>
      <c r="C23" s="63">
        <f t="shared" si="6"/>
        <v>0.2857142857142857</v>
      </c>
      <c r="D23" s="71">
        <f t="shared" si="7"/>
        <v>0.16</v>
      </c>
      <c r="E23" s="63">
        <f t="shared" si="8"/>
        <v>4.5714285714285714E-2</v>
      </c>
      <c r="F23" s="20" t="s">
        <v>84</v>
      </c>
    </row>
    <row r="24" spans="1:6" x14ac:dyDescent="0.3">
      <c r="A24" s="67" t="s">
        <v>17</v>
      </c>
      <c r="B24" s="63">
        <f>'Országok mutatói'!F4</f>
        <v>8000</v>
      </c>
      <c r="C24" s="63">
        <f t="shared" si="6"/>
        <v>0.36842105263157893</v>
      </c>
      <c r="D24" s="71">
        <f t="shared" si="7"/>
        <v>0.16</v>
      </c>
      <c r="E24" s="63">
        <f t="shared" si="8"/>
        <v>5.894736842105263E-2</v>
      </c>
      <c r="F24" s="20" t="s">
        <v>85</v>
      </c>
    </row>
    <row r="25" spans="1:6" ht="15" thickBot="1" x14ac:dyDescent="0.35">
      <c r="A25" s="68" t="s">
        <v>18</v>
      </c>
      <c r="B25" s="72">
        <f>'Országok mutatói'!G4</f>
        <v>4000</v>
      </c>
      <c r="C25" s="72">
        <f t="shared" si="6"/>
        <v>0.33333333333333331</v>
      </c>
      <c r="D25" s="71">
        <f t="shared" si="7"/>
        <v>0.1</v>
      </c>
      <c r="E25" s="72">
        <f t="shared" si="8"/>
        <v>3.3333333333333333E-2</v>
      </c>
      <c r="F25" s="22" t="s">
        <v>86</v>
      </c>
    </row>
    <row r="26" spans="1:6" ht="29.4" thickBot="1" x14ac:dyDescent="0.35">
      <c r="A26" s="81" t="s">
        <v>103</v>
      </c>
      <c r="B26" s="80"/>
      <c r="C26" s="80"/>
      <c r="D26" s="80"/>
      <c r="E26" s="79">
        <f>SUM(E21:E25)</f>
        <v>0.44820215432197513</v>
      </c>
    </row>
    <row r="27" spans="1:6" ht="15" thickBot="1" x14ac:dyDescent="0.35"/>
    <row r="28" spans="1:6" ht="18.600000000000001" thickBot="1" x14ac:dyDescent="0.4">
      <c r="A28" s="86" t="s">
        <v>10</v>
      </c>
    </row>
    <row r="29" spans="1:6" x14ac:dyDescent="0.3">
      <c r="A29" s="87" t="s">
        <v>88</v>
      </c>
      <c r="B29" s="88" t="s">
        <v>52</v>
      </c>
      <c r="C29" s="88" t="s">
        <v>89</v>
      </c>
      <c r="D29" s="88" t="s">
        <v>90</v>
      </c>
      <c r="E29" s="88" t="s">
        <v>91</v>
      </c>
      <c r="F29" s="89" t="s">
        <v>87</v>
      </c>
    </row>
    <row r="30" spans="1:6" x14ac:dyDescent="0.3">
      <c r="A30" s="67" t="s">
        <v>14</v>
      </c>
      <c r="B30" s="63">
        <f>'Országok mutatói'!C5</f>
        <v>15000</v>
      </c>
      <c r="C30" s="63">
        <f>(B30-J11)/(I11-J11)</f>
        <v>9.5744680851063829E-2</v>
      </c>
      <c r="D30" s="71">
        <f>C60</f>
        <v>0.33</v>
      </c>
      <c r="E30" s="63">
        <f>C30*D30</f>
        <v>3.1595744680851065E-2</v>
      </c>
      <c r="F30" s="20" t="s">
        <v>82</v>
      </c>
    </row>
    <row r="31" spans="1:6" x14ac:dyDescent="0.3">
      <c r="A31" s="67" t="s">
        <v>15</v>
      </c>
      <c r="B31" s="63">
        <f>'Országok mutatói'!D5</f>
        <v>10000</v>
      </c>
      <c r="C31" s="63">
        <f t="shared" ref="C31:C34" si="9">(B31-J12)/(I12-J12)</f>
        <v>7.8947368421052627E-2</v>
      </c>
      <c r="D31" s="71">
        <f t="shared" ref="D31:D34" si="10">C61</f>
        <v>0.25</v>
      </c>
      <c r="E31" s="63">
        <f t="shared" ref="E31:E34" si="11">C31*D31</f>
        <v>1.9736842105263157E-2</v>
      </c>
      <c r="F31" s="20" t="s">
        <v>83</v>
      </c>
    </row>
    <row r="32" spans="1:6" x14ac:dyDescent="0.3">
      <c r="A32" s="67" t="s">
        <v>16</v>
      </c>
      <c r="B32" s="63">
        <f>'Országok mutatói'!E5</f>
        <v>4000</v>
      </c>
      <c r="C32" s="63">
        <f t="shared" si="9"/>
        <v>7.1428571428571425E-2</v>
      </c>
      <c r="D32" s="71">
        <f t="shared" si="10"/>
        <v>0.16</v>
      </c>
      <c r="E32" s="63">
        <f t="shared" si="11"/>
        <v>1.1428571428571429E-2</v>
      </c>
      <c r="F32" s="20" t="s">
        <v>84</v>
      </c>
    </row>
    <row r="33" spans="1:6" x14ac:dyDescent="0.3">
      <c r="A33" s="67" t="s">
        <v>17</v>
      </c>
      <c r="B33" s="63">
        <f>'Országok mutatói'!F5</f>
        <v>3000</v>
      </c>
      <c r="C33" s="63">
        <f t="shared" si="9"/>
        <v>0.10526315789473684</v>
      </c>
      <c r="D33" s="71">
        <f t="shared" si="10"/>
        <v>0.16</v>
      </c>
      <c r="E33" s="63">
        <f t="shared" si="11"/>
        <v>1.6842105263157894E-2</v>
      </c>
      <c r="F33" s="20" t="s">
        <v>85</v>
      </c>
    </row>
    <row r="34" spans="1:6" ht="15" thickBot="1" x14ac:dyDescent="0.35">
      <c r="A34" s="68" t="s">
        <v>18</v>
      </c>
      <c r="B34" s="72">
        <f>'Országok mutatói'!G5</f>
        <v>2000</v>
      </c>
      <c r="C34" s="72">
        <f t="shared" si="9"/>
        <v>0.1111111111111111</v>
      </c>
      <c r="D34" s="71">
        <f t="shared" si="10"/>
        <v>0.1</v>
      </c>
      <c r="E34" s="72">
        <f t="shared" si="11"/>
        <v>1.1111111111111112E-2</v>
      </c>
      <c r="F34" s="22" t="s">
        <v>86</v>
      </c>
    </row>
    <row r="35" spans="1:6" ht="29.4" thickBot="1" x14ac:dyDescent="0.35">
      <c r="A35" s="82" t="s">
        <v>103</v>
      </c>
      <c r="B35" s="83"/>
      <c r="C35" s="83"/>
      <c r="D35" s="83"/>
      <c r="E35" s="84">
        <f>SUM(E30:E34)</f>
        <v>9.0714374588954663E-2</v>
      </c>
      <c r="F35" s="62"/>
    </row>
    <row r="36" spans="1:6" ht="15" thickBot="1" x14ac:dyDescent="0.35">
      <c r="A36" s="61"/>
      <c r="B36" s="61"/>
      <c r="C36" s="61"/>
      <c r="D36" s="61"/>
      <c r="E36" s="61"/>
      <c r="F36" s="62"/>
    </row>
    <row r="37" spans="1:6" ht="18.600000000000001" thickBot="1" x14ac:dyDescent="0.4">
      <c r="A37" s="86" t="s">
        <v>11</v>
      </c>
      <c r="B37" s="61"/>
      <c r="C37" s="61"/>
      <c r="D37" s="61"/>
      <c r="E37" s="61"/>
      <c r="F37" s="62"/>
    </row>
    <row r="38" spans="1:6" x14ac:dyDescent="0.3">
      <c r="A38" s="87" t="s">
        <v>88</v>
      </c>
      <c r="B38" s="88" t="s">
        <v>52</v>
      </c>
      <c r="C38" s="88" t="s">
        <v>89</v>
      </c>
      <c r="D38" s="88" t="s">
        <v>90</v>
      </c>
      <c r="E38" s="88" t="s">
        <v>91</v>
      </c>
      <c r="F38" s="89" t="s">
        <v>87</v>
      </c>
    </row>
    <row r="39" spans="1:6" x14ac:dyDescent="0.3">
      <c r="A39" s="67" t="s">
        <v>14</v>
      </c>
      <c r="B39" s="63">
        <f>'Országok mutatói'!C6</f>
        <v>6000</v>
      </c>
      <c r="C39" s="63">
        <f>(B39-J11)/(I11-J11)</f>
        <v>0</v>
      </c>
      <c r="D39" s="71">
        <f>C60</f>
        <v>0.33</v>
      </c>
      <c r="E39" s="63">
        <f>C39*D39</f>
        <v>0</v>
      </c>
      <c r="F39" s="20" t="s">
        <v>82</v>
      </c>
    </row>
    <row r="40" spans="1:6" x14ac:dyDescent="0.3">
      <c r="A40" s="67" t="s">
        <v>15</v>
      </c>
      <c r="B40" s="63">
        <f>'Országok mutatói'!D6</f>
        <v>4000</v>
      </c>
      <c r="C40" s="63">
        <f t="shared" ref="C40:C43" si="12">(B40-J12)/(I12-J12)</f>
        <v>0</v>
      </c>
      <c r="D40" s="71">
        <f t="shared" ref="D40:D43" si="13">C61</f>
        <v>0.25</v>
      </c>
      <c r="E40" s="63">
        <f t="shared" ref="E40:E43" si="14">C40*D40</f>
        <v>0</v>
      </c>
      <c r="F40" s="20" t="s">
        <v>83</v>
      </c>
    </row>
    <row r="41" spans="1:6" x14ac:dyDescent="0.3">
      <c r="A41" s="67" t="s">
        <v>16</v>
      </c>
      <c r="B41" s="63">
        <f>'Országok mutatói'!E6</f>
        <v>2000</v>
      </c>
      <c r="C41" s="63">
        <f t="shared" si="12"/>
        <v>0</v>
      </c>
      <c r="D41" s="71">
        <f t="shared" si="13"/>
        <v>0.16</v>
      </c>
      <c r="E41" s="63">
        <f t="shared" si="14"/>
        <v>0</v>
      </c>
      <c r="F41" s="20" t="s">
        <v>84</v>
      </c>
    </row>
    <row r="42" spans="1:6" x14ac:dyDescent="0.3">
      <c r="A42" s="67" t="s">
        <v>17</v>
      </c>
      <c r="B42" s="63">
        <f>'Országok mutatói'!F6</f>
        <v>1000</v>
      </c>
      <c r="C42" s="63">
        <f t="shared" si="12"/>
        <v>0</v>
      </c>
      <c r="D42" s="71">
        <f t="shared" si="13"/>
        <v>0.16</v>
      </c>
      <c r="E42" s="63">
        <f t="shared" si="14"/>
        <v>0</v>
      </c>
      <c r="F42" s="20" t="s">
        <v>85</v>
      </c>
    </row>
    <row r="43" spans="1:6" ht="15" thickBot="1" x14ac:dyDescent="0.35">
      <c r="A43" s="68" t="s">
        <v>18</v>
      </c>
      <c r="B43" s="72">
        <f>'Országok mutatói'!G6</f>
        <v>1000</v>
      </c>
      <c r="C43" s="72">
        <f t="shared" si="12"/>
        <v>0</v>
      </c>
      <c r="D43" s="71">
        <f t="shared" si="13"/>
        <v>0.1</v>
      </c>
      <c r="E43" s="72">
        <f t="shared" si="14"/>
        <v>0</v>
      </c>
      <c r="F43" s="22" t="s">
        <v>86</v>
      </c>
    </row>
    <row r="44" spans="1:6" ht="29.4" thickBot="1" x14ac:dyDescent="0.35">
      <c r="A44" s="82" t="s">
        <v>103</v>
      </c>
      <c r="B44" s="85"/>
      <c r="C44" s="85"/>
      <c r="D44" s="85"/>
      <c r="E44" s="84">
        <f>SUM(E39:E43)</f>
        <v>0</v>
      </c>
    </row>
    <row r="45" spans="1:6" ht="15" thickBot="1" x14ac:dyDescent="0.35"/>
    <row r="46" spans="1:6" ht="18.600000000000001" thickBot="1" x14ac:dyDescent="0.4">
      <c r="A46" s="86" t="s">
        <v>12</v>
      </c>
    </row>
    <row r="47" spans="1:6" x14ac:dyDescent="0.3">
      <c r="A47" s="87" t="s">
        <v>88</v>
      </c>
      <c r="B47" s="88" t="s">
        <v>52</v>
      </c>
      <c r="C47" s="88" t="s">
        <v>89</v>
      </c>
      <c r="D47" s="88" t="s">
        <v>90</v>
      </c>
      <c r="E47" s="88" t="s">
        <v>91</v>
      </c>
      <c r="F47" s="89" t="s">
        <v>87</v>
      </c>
    </row>
    <row r="48" spans="1:6" x14ac:dyDescent="0.3">
      <c r="A48" s="67" t="s">
        <v>14</v>
      </c>
      <c r="B48" s="63">
        <f>'Országok mutatói'!C7</f>
        <v>100000</v>
      </c>
      <c r="C48" s="63">
        <f>(B48-J11)/(I11-J11)</f>
        <v>1</v>
      </c>
      <c r="D48" s="71">
        <f>C60</f>
        <v>0.33</v>
      </c>
      <c r="E48" s="63">
        <f t="shared" ref="E48:E52" si="15">C48*D48</f>
        <v>0.33</v>
      </c>
      <c r="F48" s="20" t="s">
        <v>82</v>
      </c>
    </row>
    <row r="49" spans="1:6" x14ac:dyDescent="0.3">
      <c r="A49" s="67" t="s">
        <v>15</v>
      </c>
      <c r="B49" s="63">
        <f>'Országok mutatói'!D7</f>
        <v>80000</v>
      </c>
      <c r="C49" s="63">
        <f t="shared" ref="C49:C52" si="16">(B49-J12)/(I12-J12)</f>
        <v>1</v>
      </c>
      <c r="D49" s="71">
        <f t="shared" ref="D49:D52" si="17">C61</f>
        <v>0.25</v>
      </c>
      <c r="E49" s="63">
        <f t="shared" si="15"/>
        <v>0.25</v>
      </c>
      <c r="F49" s="20" t="s">
        <v>83</v>
      </c>
    </row>
    <row r="50" spans="1:6" x14ac:dyDescent="0.3">
      <c r="A50" s="67" t="s">
        <v>16</v>
      </c>
      <c r="B50" s="63">
        <f>'Országok mutatói'!E7</f>
        <v>30000</v>
      </c>
      <c r="C50" s="63">
        <f t="shared" si="16"/>
        <v>1</v>
      </c>
      <c r="D50" s="71">
        <f t="shared" si="17"/>
        <v>0.16</v>
      </c>
      <c r="E50" s="63">
        <f t="shared" si="15"/>
        <v>0.16</v>
      </c>
      <c r="F50" s="20" t="s">
        <v>84</v>
      </c>
    </row>
    <row r="51" spans="1:6" x14ac:dyDescent="0.3">
      <c r="A51" s="67" t="s">
        <v>17</v>
      </c>
      <c r="B51" s="63">
        <f>'Országok mutatói'!F7</f>
        <v>20000</v>
      </c>
      <c r="C51" s="63">
        <f t="shared" si="16"/>
        <v>1</v>
      </c>
      <c r="D51" s="71">
        <f t="shared" si="17"/>
        <v>0.16</v>
      </c>
      <c r="E51" s="63">
        <f t="shared" si="15"/>
        <v>0.16</v>
      </c>
      <c r="F51" s="20" t="s">
        <v>85</v>
      </c>
    </row>
    <row r="52" spans="1:6" ht="15" thickBot="1" x14ac:dyDescent="0.35">
      <c r="A52" s="68" t="s">
        <v>18</v>
      </c>
      <c r="B52" s="72">
        <f>'Országok mutatói'!G7</f>
        <v>10000</v>
      </c>
      <c r="C52" s="72">
        <f t="shared" si="16"/>
        <v>1</v>
      </c>
      <c r="D52" s="71">
        <f t="shared" si="17"/>
        <v>0.1</v>
      </c>
      <c r="E52" s="72">
        <f t="shared" si="15"/>
        <v>0.1</v>
      </c>
      <c r="F52" s="22" t="s">
        <v>86</v>
      </c>
    </row>
    <row r="53" spans="1:6" ht="29.4" thickBot="1" x14ac:dyDescent="0.35">
      <c r="A53" s="82" t="s">
        <v>103</v>
      </c>
      <c r="B53" s="85"/>
      <c r="C53" s="85"/>
      <c r="D53" s="85"/>
      <c r="E53" s="84">
        <f>SUM(E48:E52)</f>
        <v>1.0000000000000002</v>
      </c>
    </row>
    <row r="56" spans="1:6" ht="15" thickBot="1" x14ac:dyDescent="0.35"/>
    <row r="57" spans="1:6" ht="15" customHeight="1" x14ac:dyDescent="0.3">
      <c r="B57" s="211" t="s">
        <v>152</v>
      </c>
      <c r="C57" s="212"/>
      <c r="D57" s="213"/>
    </row>
    <row r="58" spans="1:6" ht="15.75" customHeight="1" thickBot="1" x14ac:dyDescent="0.35">
      <c r="B58" s="214"/>
      <c r="C58" s="215"/>
      <c r="D58" s="216"/>
    </row>
    <row r="59" spans="1:6" ht="18" x14ac:dyDescent="0.35">
      <c r="B59" s="64" t="s">
        <v>100</v>
      </c>
      <c r="C59" s="65" t="s">
        <v>153</v>
      </c>
      <c r="D59" s="66" t="s">
        <v>54</v>
      </c>
    </row>
    <row r="60" spans="1:6" ht="28.8" x14ac:dyDescent="0.3">
      <c r="B60" s="121" t="str">
        <f>A3</f>
        <v>Tiltott légterek (km²)</v>
      </c>
      <c r="C60" s="124">
        <v>0.33</v>
      </c>
      <c r="D60" s="117" t="s">
        <v>154</v>
      </c>
    </row>
    <row r="61" spans="1:6" x14ac:dyDescent="0.3">
      <c r="B61" s="121" t="str">
        <f t="shared" ref="B61:B64" si="18">A4</f>
        <v>Korlátozott légterek (km²)</v>
      </c>
      <c r="C61" s="124">
        <v>0.25</v>
      </c>
      <c r="D61" s="118" t="s">
        <v>155</v>
      </c>
    </row>
    <row r="62" spans="1:6" x14ac:dyDescent="0.3">
      <c r="B62" s="121" t="str">
        <f t="shared" si="18"/>
        <v>Katonai zónák (km²)</v>
      </c>
      <c r="C62" s="125">
        <v>0.16</v>
      </c>
      <c r="D62" s="118" t="s">
        <v>156</v>
      </c>
    </row>
    <row r="63" spans="1:6" ht="86.4" x14ac:dyDescent="0.3">
      <c r="B63" s="121" t="str">
        <f t="shared" si="18"/>
        <v>Repülőtér zónák (km²)</v>
      </c>
      <c r="C63" s="125">
        <v>0.16</v>
      </c>
      <c r="D63" s="117" t="s">
        <v>158</v>
      </c>
    </row>
    <row r="64" spans="1:6" ht="28.8" x14ac:dyDescent="0.3">
      <c r="B64" s="122" t="str">
        <f t="shared" si="18"/>
        <v>Természetvédelmi területek (km²)</v>
      </c>
      <c r="C64" s="126">
        <v>0.1</v>
      </c>
      <c r="D64" s="119" t="s">
        <v>157</v>
      </c>
    </row>
    <row r="65" spans="2:4" ht="43.8" thickBot="1" x14ac:dyDescent="0.35">
      <c r="B65" s="123" t="s">
        <v>159</v>
      </c>
      <c r="C65" s="127">
        <f>SUM(C60:C64)</f>
        <v>1.0000000000000002</v>
      </c>
      <c r="D65" s="120" t="s">
        <v>160</v>
      </c>
    </row>
  </sheetData>
  <mergeCells count="2">
    <mergeCell ref="H1:I1"/>
    <mergeCell ref="B57:D5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Téma Célkitűzés</vt:lpstr>
      <vt:lpstr>Országok mutatói</vt:lpstr>
      <vt:lpstr>Országok mutatói2</vt:lpstr>
      <vt:lpstr>Országok mutatói3</vt:lpstr>
      <vt:lpstr>Y0</vt:lpstr>
      <vt:lpstr>Iránykód</vt:lpstr>
      <vt:lpstr>Elemzési irány</vt:lpstr>
      <vt:lpstr>Medián érték</vt:lpstr>
      <vt:lpstr>Országok korlátozottsági indexe</vt:lpstr>
      <vt:lpstr>korrelációs együtthatók</vt:lpstr>
      <vt:lpstr>matrixseged</vt:lpstr>
      <vt:lpstr>korrelációs_mátrix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Spiller Zsolt</dc:creator>
  <cp:lastModifiedBy>Lttd</cp:lastModifiedBy>
  <dcterms:created xsi:type="dcterms:W3CDTF">2025-05-05T13:13:20Z</dcterms:created>
  <dcterms:modified xsi:type="dcterms:W3CDTF">2025-09-29T10:27:41Z</dcterms:modified>
</cp:coreProperties>
</file>