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ersons/person.xml" ContentType="application/vnd.ms-excel.person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p\Documents\"/>
    </mc:Choice>
  </mc:AlternateContent>
  <xr:revisionPtr revIDLastSave="0" documentId="13_ncr:1_{670DD5DB-F142-42DA-B2B7-1DD8680439C1}" xr6:coauthVersionLast="43" xr6:coauthVersionMax="43" xr10:uidLastSave="{00000000-0000-0000-0000-000000000000}"/>
  <bookViews>
    <workbookView xWindow="-120" yWindow="-120" windowWidth="20730" windowHeight="11160" activeTab="1" xr2:uid="{78A176EC-653A-4CF3-8EAD-6EBAD576E2EF}"/>
  </bookViews>
  <sheets>
    <sheet name="CMPR (2)" sheetId="10" r:id="rId1"/>
    <sheet name="S5" sheetId="11" r:id="rId2"/>
    <sheet name="CMPR" sheetId="2" r:id="rId3"/>
    <sheet name="S1" sheetId="3" r:id="rId4"/>
    <sheet name="S2" sheetId="4" r:id="rId5"/>
    <sheet name="S3" sheetId="6" r:id="rId6"/>
    <sheet name="robot2" sheetId="12" r:id="rId7"/>
    <sheet name="S4" sheetId="7" r:id="rId8"/>
    <sheet name="Robot Opinion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0" l="1"/>
  <c r="J15" i="10"/>
  <c r="J16" i="10"/>
  <c r="J17" i="10"/>
  <c r="J13" i="10"/>
  <c r="I31" i="12"/>
  <c r="J31" i="12"/>
  <c r="G17" i="10"/>
  <c r="F17" i="10"/>
  <c r="E17" i="10"/>
  <c r="D17" i="10"/>
  <c r="C17" i="10"/>
  <c r="G16" i="10"/>
  <c r="F16" i="10"/>
  <c r="E16" i="10"/>
  <c r="D16" i="10"/>
  <c r="C16" i="10"/>
  <c r="G15" i="10"/>
  <c r="F15" i="10"/>
  <c r="E15" i="10"/>
  <c r="D15" i="10"/>
  <c r="C15" i="10"/>
  <c r="G14" i="10"/>
  <c r="F14" i="10"/>
  <c r="E14" i="10"/>
  <c r="D14" i="10"/>
  <c r="C14" i="10"/>
  <c r="G13" i="10"/>
  <c r="F13" i="10"/>
  <c r="E13" i="10"/>
  <c r="D13" i="10"/>
  <c r="C13" i="10"/>
  <c r="K14" i="3"/>
  <c r="J14" i="3"/>
  <c r="I14" i="3"/>
  <c r="H14" i="3"/>
  <c r="G8" i="10"/>
  <c r="G7" i="10"/>
  <c r="G6" i="10"/>
  <c r="G5" i="10"/>
  <c r="G4" i="10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9" i="11"/>
  <c r="C8" i="10"/>
  <c r="E8" i="10" s="1"/>
  <c r="C4" i="10"/>
  <c r="E4" i="10" s="1"/>
  <c r="A16" i="10"/>
  <c r="A15" i="10"/>
  <c r="A14" i="10"/>
  <c r="A13" i="10"/>
  <c r="G12" i="10"/>
  <c r="F12" i="10"/>
  <c r="E12" i="10"/>
  <c r="D12" i="10"/>
  <c r="C12" i="10"/>
  <c r="B12" i="10"/>
  <c r="A12" i="10"/>
  <c r="D7" i="10"/>
  <c r="C7" i="10"/>
  <c r="E7" i="10" s="1"/>
  <c r="D6" i="10"/>
  <c r="C6" i="10"/>
  <c r="D5" i="10"/>
  <c r="C5" i="10"/>
  <c r="E5" i="10" s="1"/>
  <c r="D4" i="10"/>
  <c r="E6" i="10" l="1"/>
  <c r="J16" i="2"/>
  <c r="J15" i="2"/>
  <c r="J14" i="2"/>
  <c r="J13" i="2"/>
  <c r="G16" i="2"/>
  <c r="F16" i="2"/>
  <c r="D16" i="2"/>
  <c r="G15" i="2"/>
  <c r="F15" i="2"/>
  <c r="D15" i="2"/>
  <c r="G14" i="2"/>
  <c r="F14" i="2"/>
  <c r="D14" i="2"/>
  <c r="G13" i="2"/>
  <c r="F13" i="2"/>
  <c r="D13" i="2"/>
  <c r="C16" i="2"/>
  <c r="C15" i="2"/>
  <c r="C14" i="2"/>
  <c r="C13" i="2"/>
  <c r="A16" i="2"/>
  <c r="A15" i="2"/>
  <c r="A14" i="2"/>
  <c r="A13" i="2"/>
  <c r="G12" i="2"/>
  <c r="F12" i="2"/>
  <c r="E12" i="2"/>
  <c r="D12" i="2"/>
  <c r="C12" i="2"/>
  <c r="B12" i="2"/>
  <c r="A12" i="2"/>
  <c r="G7" i="2"/>
  <c r="G6" i="2"/>
  <c r="G5" i="2"/>
  <c r="G4" i="2"/>
  <c r="D7" i="2"/>
  <c r="C7" i="2"/>
  <c r="E7" i="2" s="1"/>
  <c r="H2" i="7"/>
  <c r="G2" i="7"/>
  <c r="F2" i="7"/>
  <c r="H11" i="7"/>
  <c r="H10" i="7"/>
  <c r="H9" i="7"/>
  <c r="H8" i="7"/>
  <c r="H7" i="7"/>
  <c r="H6" i="7"/>
  <c r="H5" i="7"/>
  <c r="D6" i="2" l="1"/>
  <c r="C6" i="2"/>
  <c r="E2" i="6"/>
  <c r="I2" i="6"/>
  <c r="H2" i="6"/>
  <c r="G2" i="6"/>
  <c r="F2" i="6"/>
  <c r="E6" i="2" l="1"/>
  <c r="D5" i="2"/>
  <c r="C5" i="2"/>
  <c r="E5" i="2" s="1"/>
  <c r="C1" i="4"/>
  <c r="F1" i="4"/>
  <c r="G1" i="4"/>
  <c r="H1" i="4"/>
  <c r="I1" i="4"/>
  <c r="D1" i="4"/>
  <c r="E1" i="4"/>
  <c r="D4" i="2"/>
  <c r="C4" i="2"/>
  <c r="E4" i="2" s="1"/>
  <c r="K12" i="3"/>
  <c r="I12" i="3"/>
  <c r="H12" i="3"/>
  <c r="G12" i="3"/>
  <c r="F12" i="3"/>
  <c r="J12" i="3" s="1"/>
  <c r="E12" i="3"/>
  <c r="D12" i="3"/>
  <c r="K11" i="3"/>
  <c r="I11" i="3"/>
  <c r="H11" i="3"/>
  <c r="G11" i="3"/>
  <c r="F11" i="3"/>
  <c r="J11" i="3" s="1"/>
  <c r="E11" i="3"/>
  <c r="D11" i="3"/>
  <c r="K10" i="3"/>
  <c r="I10" i="3"/>
  <c r="H10" i="3"/>
  <c r="G10" i="3"/>
  <c r="F10" i="3"/>
  <c r="E10" i="3"/>
  <c r="D10" i="3"/>
  <c r="K9" i="3"/>
  <c r="I9" i="3"/>
  <c r="H9" i="3"/>
  <c r="G9" i="3"/>
  <c r="F9" i="3"/>
  <c r="J9" i="3" s="1"/>
  <c r="E9" i="3"/>
  <c r="D9" i="3"/>
  <c r="K8" i="3"/>
  <c r="I8" i="3"/>
  <c r="H8" i="3"/>
  <c r="G8" i="3"/>
  <c r="F8" i="3"/>
  <c r="E8" i="3"/>
  <c r="D8" i="3"/>
  <c r="K7" i="3"/>
  <c r="I7" i="3"/>
  <c r="H7" i="3"/>
  <c r="G7" i="3"/>
  <c r="F7" i="3"/>
  <c r="J7" i="3" s="1"/>
  <c r="E7" i="3"/>
  <c r="D7" i="3"/>
  <c r="E13" i="2" l="1"/>
  <c r="E16" i="2"/>
  <c r="E14" i="2"/>
  <c r="E15" i="2"/>
  <c r="J10" i="3"/>
  <c r="J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tc={B9BDA156-9348-4D59-9B35-ED5441C292A8}</author>
    <author>tc={12654CDD-4B45-4B2A-8997-370D76AA2B12}</author>
    <author>tc={1C013CF7-3238-448F-AD17-D13223E9B62A}</author>
  </authors>
  <commentList>
    <comment ref="F4" authorId="0" shapeId="0" xr:uid="{B9BDA156-9348-4D59-9B35-ED5441C292A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Green=Pass
Red=Failed</t>
      </text>
    </comment>
    <comment ref="F5" authorId="1" shapeId="0" xr:uid="{12654CDD-4B45-4B2A-8997-370D76AA2B12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Red=Failed
Yellow=Satisfactory
Green=Good</t>
      </text>
    </comment>
    <comment ref="F7" authorId="2" shapeId="0" xr:uid="{1C013CF7-3238-448F-AD17-D13223E9B62A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Great Good Poor Concerning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tc={257D7E29-DE72-4AF1-B9CE-29641E30400F}</author>
    <author>tc={F1DAE8FE-C82A-409F-B7E0-0D4E52F80BC4}</author>
    <author>tc={016839C2-E5E5-4242-934C-E0B476D9D1AD}</author>
  </authors>
  <commentList>
    <comment ref="F4" authorId="0" shapeId="0" xr:uid="{257D7E29-DE72-4AF1-B9CE-29641E30400F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Green=Pass
Red=Failed</t>
      </text>
    </comment>
    <comment ref="F5" authorId="1" shapeId="0" xr:uid="{F1DAE8FE-C82A-409F-B7E0-0D4E52F80BC4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Red=Failed
Yellow=Satisfactory
Green=Good</t>
      </text>
    </comment>
    <comment ref="F7" authorId="2" shapeId="0" xr:uid="{016839C2-E5E5-4242-934C-E0B476D9D1AD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Great Good Poor Concerning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<sst xmlns="http://schemas.openxmlformats.org/spreadsheetml/2006/main" count="484" uniqueCount="246">
  <si>
    <t>Student 1</t>
  </si>
  <si>
    <t>Student 2</t>
  </si>
  <si>
    <t>Student 3</t>
  </si>
  <si>
    <t>Student 4</t>
  </si>
  <si>
    <t>Student 5</t>
  </si>
  <si>
    <t>Student 6</t>
  </si>
  <si>
    <t>Attendence</t>
  </si>
  <si>
    <t>Effort</t>
  </si>
  <si>
    <t>Grades</t>
  </si>
  <si>
    <t>First Test</t>
  </si>
  <si>
    <t>Second Test</t>
  </si>
  <si>
    <t>Third Test</t>
  </si>
  <si>
    <t>Fourth Test</t>
  </si>
  <si>
    <t>Oszlop1</t>
  </si>
  <si>
    <t>Oszlop2</t>
  </si>
  <si>
    <t>Oszlop3</t>
  </si>
  <si>
    <t>Oszlop4</t>
  </si>
  <si>
    <t>Oszlop5</t>
  </si>
  <si>
    <t>Oszlop6</t>
  </si>
  <si>
    <t>Oszlop7</t>
  </si>
  <si>
    <t>Grades Average</t>
  </si>
  <si>
    <t>Oszlop8</t>
  </si>
  <si>
    <t>Final Grade</t>
  </si>
  <si>
    <t>Oszlop9</t>
  </si>
  <si>
    <t>Attendence  20%</t>
  </si>
  <si>
    <t>Effort 20%</t>
  </si>
  <si>
    <t>Exams 60%</t>
  </si>
  <si>
    <t>STUDENT EVALUATION</t>
  </si>
  <si>
    <t>OAM</t>
  </si>
  <si>
    <t>System 1</t>
  </si>
  <si>
    <t>System 2</t>
  </si>
  <si>
    <t>System 3</t>
  </si>
  <si>
    <t>System 4</t>
  </si>
  <si>
    <t>URL SOURCE</t>
  </si>
  <si>
    <t xml:space="preserve">Number of the raw attributes </t>
  </si>
  <si>
    <t>Piece</t>
  </si>
  <si>
    <t>Secondary attributes</t>
  </si>
  <si>
    <t>Type</t>
  </si>
  <si>
    <t>Raw</t>
  </si>
  <si>
    <t>Secondary</t>
  </si>
  <si>
    <t>…</t>
  </si>
  <si>
    <t>a</t>
  </si>
  <si>
    <t>b</t>
  </si>
  <si>
    <t>c</t>
  </si>
  <si>
    <t>d</t>
  </si>
  <si>
    <t>e</t>
  </si>
  <si>
    <t>g</t>
  </si>
  <si>
    <t>h</t>
  </si>
  <si>
    <t>i</t>
  </si>
  <si>
    <t>% (10 Classes Total)</t>
  </si>
  <si>
    <t>Avarage %</t>
  </si>
  <si>
    <t>%</t>
  </si>
  <si>
    <t>Attendance</t>
  </si>
  <si>
    <t>Test Grades</t>
  </si>
  <si>
    <t>Correlation</t>
  </si>
  <si>
    <t>RAW</t>
  </si>
  <si>
    <t>...</t>
  </si>
  <si>
    <t>percent</t>
  </si>
  <si>
    <t>Name</t>
  </si>
  <si>
    <t>Nationality</t>
  </si>
  <si>
    <t>ATTENDENCE</t>
  </si>
  <si>
    <t>Exames%</t>
  </si>
  <si>
    <t>Events perpormence%</t>
  </si>
  <si>
    <t>Presentations%</t>
  </si>
  <si>
    <t>agg</t>
  </si>
  <si>
    <t>STATUS</t>
  </si>
  <si>
    <t>Louise</t>
  </si>
  <si>
    <t>Spain</t>
  </si>
  <si>
    <t>great</t>
  </si>
  <si>
    <t>Tomas</t>
  </si>
  <si>
    <t>Hungary</t>
  </si>
  <si>
    <t>Michael</t>
  </si>
  <si>
    <t>Pakistan</t>
  </si>
  <si>
    <t>good</t>
  </si>
  <si>
    <t>Mary</t>
  </si>
  <si>
    <t>India</t>
  </si>
  <si>
    <t>poor</t>
  </si>
  <si>
    <t>China</t>
  </si>
  <si>
    <t>Germany</t>
  </si>
  <si>
    <t>Gary</t>
  </si>
  <si>
    <t>Austria</t>
  </si>
  <si>
    <t>Concerning</t>
  </si>
  <si>
    <t>Total number of attributes</t>
  </si>
  <si>
    <t>Dimension</t>
  </si>
  <si>
    <t>Sensibility</t>
  </si>
  <si>
    <t>Direction</t>
  </si>
  <si>
    <t>Objectivity</t>
  </si>
  <si>
    <t>Type 2</t>
  </si>
  <si>
    <t>OB</t>
  </si>
  <si>
    <t>SUB</t>
  </si>
  <si>
    <t>RATIO</t>
  </si>
  <si>
    <t>y0</t>
  </si>
  <si>
    <t>sub</t>
  </si>
  <si>
    <t>Azonos�t�:</t>
  </si>
  <si>
    <t>Objektumok:</t>
  </si>
  <si>
    <t>Attrib�tumok:</t>
  </si>
  <si>
    <t>Lepcs�k:</t>
  </si>
  <si>
    <t>Eltol�s:</t>
  </si>
  <si>
    <t>Le�r�s:</t>
  </si>
  <si>
    <t>COCO Y0: 4834139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</si>
  <si>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</si>
  <si>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</si>
  <si>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</si>
  <si>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</si>
  <si>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</si>
  <si>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</si>
  <si>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</si>
  <si>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</si>
  <si>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</si>
  <si>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</si>
  <si>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</si>
  <si>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L�pcs�k(1)</t>
  </si>
  <si>
    <t>S1</t>
  </si>
  <si>
    <t>(3+92)/(2)=47.5</t>
  </si>
  <si>
    <t>(3+3)/(2)=3</t>
  </si>
  <si>
    <t>(92+94)/(2)=93</t>
  </si>
  <si>
    <t>(6+4)/(2)=5</t>
  </si>
  <si>
    <t>S2</t>
  </si>
  <si>
    <t>(2+2)/(2)=2</t>
  </si>
  <si>
    <t>(91+93)/(2)=92</t>
  </si>
  <si>
    <t>S3</t>
  </si>
  <si>
    <t>(1+1)/(2)=1</t>
  </si>
  <si>
    <t>(90+92)/(2)=91</t>
  </si>
  <si>
    <t>S4</t>
  </si>
  <si>
    <t>(0+0)/(2)=0</t>
  </si>
  <si>
    <t>(89+0)/(2)=44.5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</si>
  <si>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</si>
  <si>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</si>
  <si>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</si>
  <si>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</si>
  <si>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</si>
  <si>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</si>
  <si>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</si>
  <si>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151.5</t>
  </si>
  <si>
    <t>S4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</si>
  <si>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</si>
  <si>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</si>
  <si>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</si>
  <si>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</si>
  <si>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</si>
  <si>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</si>
  <si>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</si>
  <si>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 xml:space="preserve">Maxim�lis mem�ria haszn�lat: </t>
    </r>
    <r>
      <rPr>
        <b/>
        <sz val="11"/>
        <color theme="1"/>
        <rFont val="Calibri"/>
        <family val="2"/>
        <charset val="238"/>
        <scheme val="minor"/>
      </rPr>
      <t>1.31 Mb</t>
    </r>
  </si>
  <si>
    <r>
      <t xml:space="preserve">A futtat�s id�tartama: </t>
    </r>
    <r>
      <rPr>
        <b/>
        <sz val="11"/>
        <color theme="1"/>
        <rFont val="Calibri"/>
        <family val="2"/>
        <charset val="238"/>
        <scheme val="minor"/>
      </rPr>
      <t>0.11 mp (0 p)</t>
    </r>
  </si>
  <si>
    <t>robot</t>
  </si>
  <si>
    <t>rr</t>
  </si>
  <si>
    <t>https://miau.my-x.hu/miau/quilt/?C=M;O=D</t>
  </si>
  <si>
    <t>system 5</t>
  </si>
  <si>
    <t>option/task</t>
  </si>
  <si>
    <t>***</t>
  </si>
  <si>
    <t>ORGANIZED</t>
  </si>
  <si>
    <t>FLEXIBLE</t>
  </si>
  <si>
    <t>FOCUSED</t>
  </si>
  <si>
    <t>RESPONSIBLE</t>
  </si>
  <si>
    <t>UNDERSTANDING</t>
  </si>
  <si>
    <t>SKILLED</t>
  </si>
  <si>
    <t>ADAPTABLE</t>
  </si>
  <si>
    <t>AMBITIOUS</t>
  </si>
  <si>
    <t xml:space="preserve">                                          </t>
  </si>
  <si>
    <t>As we can notice figure 1</t>
  </si>
  <si>
    <t xml:space="preserve">   </t>
  </si>
  <si>
    <t xml:space="preserve">               Organised=time×mistakes/action the weight of organised was 70%</t>
  </si>
  <si>
    <t>As we can notice figure:2</t>
  </si>
  <si>
    <t xml:space="preserve">      </t>
  </si>
  <si>
    <t xml:space="preserve">       </t>
  </si>
  <si>
    <t xml:space="preserve">         Flexible = declaration × option/task  The weight of flexible attributes was 45%</t>
  </si>
  <si>
    <t xml:space="preserve"> </t>
  </si>
  <si>
    <t>As we can notice figure:3</t>
  </si>
  <si>
    <t xml:space="preserve">             Focused= mistakes/options the weight of focused attributes was 55%</t>
  </si>
  <si>
    <r>
      <t xml:space="preserve">  </t>
    </r>
    <r>
      <rPr>
        <sz val="11"/>
        <color theme="1"/>
        <rFont val="Calibri"/>
        <family val="2"/>
        <charset val="238"/>
        <scheme val="minor"/>
      </rPr>
      <t>As we can notice figure:4</t>
    </r>
  </si>
  <si>
    <t xml:space="preserve">    </t>
  </si>
  <si>
    <t xml:space="preserve">             Responsbilities= There are no futher outcomes or attributs so the weight of focused attributes was 71 %</t>
  </si>
  <si>
    <t>As we can notice figure 5</t>
  </si>
  <si>
    <t xml:space="preserve">   Understanding= mistakes/ations × questions the weight of attributes was</t>
  </si>
  <si>
    <t xml:space="preserve">     </t>
  </si>
  <si>
    <t>As we can notice figure 6</t>
  </si>
  <si>
    <t xml:space="preserve">             skilled: there is no outcomes or particuller actions show but the weight of attributes was 81%</t>
  </si>
  <si>
    <r>
      <t xml:space="preserve">        </t>
    </r>
    <r>
      <rPr>
        <sz val="11"/>
        <color theme="1"/>
        <rFont val="Calibri"/>
        <family val="2"/>
        <charset val="238"/>
        <scheme val="minor"/>
      </rPr>
      <t>As we can notice figure 7</t>
    </r>
  </si>
  <si>
    <t>Addaptable =options/tasks× actions the weight of attributes was 35%</t>
  </si>
  <si>
    <t xml:space="preserve">  </t>
  </si>
  <si>
    <t>As per the calculation, we organised the best figure for students attributes.</t>
  </si>
  <si>
    <t xml:space="preserve">                         organised    Flxible     focused     responsibilities     understanding    skilled   adaptated</t>
  </si>
  <si>
    <t xml:space="preserve">                      </t>
  </si>
  <si>
    <t xml:space="preserve">  we also put all information in the form of histogram and you can see that all attributes and their activities</t>
  </si>
  <si>
    <t xml:space="preserve">               Und   Foc    Flx            Org    Res       Sk               Adap      </t>
  </si>
  <si>
    <r>
      <t xml:space="preserve"> </t>
    </r>
    <r>
      <rPr>
        <sz val="18"/>
        <color theme="1"/>
        <rFont val="Calibri"/>
        <family val="2"/>
        <charset val="238"/>
        <scheme val="minor"/>
      </rPr>
      <t xml:space="preserve">conclusion: in conclusion we did not finished with that because it wont be correct that if we stuck with this </t>
    </r>
  </si>
  <si>
    <t>https://miau.my-x.hu/miau/quilt/__4-person-team.xlsx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</si>
  <si>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</si>
  <si>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</si>
  <si>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</si>
  <si>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</si>
  <si>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</si>
  <si>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</si>
  <si>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</si>
  <si>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</si>
  <si>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</si>
  <si>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</si>
  <si>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</si>
  <si>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</si>
  <si>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</si>
  <si>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</si>
  <si>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</si>
  <si>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Percentage</t>
  </si>
  <si>
    <t>final grade</t>
  </si>
  <si>
    <t>options/tasks</t>
  </si>
  <si>
    <t>percentage</t>
  </si>
  <si>
    <t xml:space="preserve">deleted </t>
  </si>
  <si>
    <t>Accuracy/actions</t>
  </si>
  <si>
    <t>Extra time</t>
  </si>
  <si>
    <t>Reactions/actions</t>
  </si>
  <si>
    <t>Directions</t>
  </si>
  <si>
    <t xml:space="preserve">dimensions </t>
  </si>
  <si>
    <t xml:space="preserve">definitions </t>
  </si>
  <si>
    <t>name</t>
  </si>
  <si>
    <t>test Accuracy theory</t>
  </si>
  <si>
    <t>test Accuracy practice</t>
  </si>
  <si>
    <t>Deleted</t>
  </si>
  <si>
    <t>status</t>
  </si>
  <si>
    <t>used</t>
  </si>
  <si>
    <t xml:space="preserve">type </t>
  </si>
  <si>
    <t>OBJ</t>
  </si>
  <si>
    <t>OBJ-SUBJ(RAW)</t>
  </si>
  <si>
    <t>Dimensions</t>
  </si>
  <si>
    <t>percentagepercentage</t>
  </si>
  <si>
    <t>piece</t>
  </si>
  <si>
    <t>dimensions</t>
  </si>
  <si>
    <t>COCO Y0: 3548476</t>
  </si>
  <si>
    <t>O5</t>
  </si>
  <si>
    <t>(4+4)/(2)=4</t>
  </si>
  <si>
    <t>(90+10)/(2)=50</t>
  </si>
  <si>
    <t>(4+7)/(2)=5.5</t>
  </si>
  <si>
    <t>(9+86)/(2)=47.5</t>
  </si>
  <si>
    <t>(89+3)/(2)=46</t>
  </si>
  <si>
    <t>(3+6)/(2)=4.5</t>
  </si>
  <si>
    <t>(8+85)/(2)=46.5</t>
  </si>
  <si>
    <t>(88+2)/(2)=45</t>
  </si>
  <si>
    <t>(2+5)/(2)=3.5</t>
  </si>
  <si>
    <t>(2+82)/(2)=42</t>
  </si>
  <si>
    <t>(87+1)/(2)=44</t>
  </si>
  <si>
    <t>(1+4)/(2)=2.5</t>
  </si>
  <si>
    <t>(1+81)/(2)=41</t>
  </si>
  <si>
    <t>S5</t>
  </si>
  <si>
    <t>(80+0)/(2)=40</t>
  </si>
  <si>
    <t>S5 �sszeg:</t>
  </si>
  <si>
    <r>
      <t xml:space="preserve">Maxim�lis mem�ria haszn�lat: </t>
    </r>
    <r>
      <rPr>
        <b/>
        <sz val="11"/>
        <color theme="1"/>
        <rFont val="Calibri"/>
        <family val="2"/>
        <charset val="238"/>
        <scheme val="minor"/>
      </rPr>
      <t>1.38 Mb</t>
    </r>
  </si>
  <si>
    <r>
      <t xml:space="preserve">A futtat�s id�tartama: </t>
    </r>
    <r>
      <rPr>
        <b/>
        <sz val="11"/>
        <color theme="1"/>
        <rFont val="Calibri"/>
        <family val="2"/>
        <charset val="238"/>
        <scheme val="minor"/>
      </rPr>
      <t>0.05 mp (0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</si>
</sst>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u/>
      <sz val="14"/>
      <color theme="1"/>
      <name val="Times New Roman"/>
      <family val="1"/>
      <charset val="238"/>
    </font>
    <font>
      <b/>
      <i/>
      <u/>
      <sz val="14"/>
      <color rgb="FF00B050"/>
      <name val="Times New Roman"/>
      <family val="1"/>
      <charset val="238"/>
    </font>
    <font>
      <b/>
      <i/>
      <u/>
      <sz val="14"/>
      <color rgb="FF4472C4"/>
      <name val="Times New Roman"/>
      <family val="1"/>
      <charset val="238"/>
    </font>
    <font>
      <b/>
      <i/>
      <u/>
      <sz val="14"/>
      <color rgb="FFFF0000"/>
      <name val="Times New Roman"/>
      <family val="1"/>
      <charset val="238"/>
    </font>
    <font>
      <b/>
      <i/>
      <u/>
      <sz val="14"/>
      <color rgb="FF538135"/>
      <name val="Times New Roman"/>
      <family val="1"/>
      <charset val="238"/>
    </font>
    <font>
      <b/>
      <i/>
      <u/>
      <sz val="14"/>
      <color rgb="FFED7D31"/>
      <name val="Times New Roman"/>
      <family val="1"/>
      <charset val="238"/>
    </font>
    <font>
      <b/>
      <i/>
      <u/>
      <sz val="14"/>
      <color rgb="FF833C0B"/>
      <name val="Times New Roman"/>
      <family val="1"/>
      <charset val="238"/>
    </font>
    <font>
      <b/>
      <i/>
      <u/>
      <sz val="14"/>
      <color rgb="FF7030A0"/>
      <name val="Times New Roman"/>
      <family val="1"/>
      <charset val="238"/>
    </font>
    <font>
      <b/>
      <i/>
      <u/>
      <sz val="14"/>
      <color rgb="FF80808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u/>
      <sz val="14"/>
      <color theme="9"/>
      <name val="Times New Roman"/>
      <family val="1"/>
      <charset val="238"/>
    </font>
    <font>
      <b/>
      <i/>
      <u/>
      <sz val="14"/>
      <color theme="7"/>
      <name val="Times New Roman"/>
      <family val="1"/>
      <charset val="238"/>
    </font>
    <font>
      <sz val="8.800000000000000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90CB7E"/>
        <bgColor indexed="64"/>
      </patternFill>
    </fill>
    <fill>
      <patternFill patternType="solid">
        <fgColor rgb="FFB3D580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CBF7B"/>
        <bgColor indexed="64"/>
      </patternFill>
    </fill>
    <fill>
      <patternFill patternType="solid">
        <fgColor rgb="FFFA9373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9" fontId="0" fillId="0" borderId="0" xfId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0" borderId="1" xfId="0" applyBorder="1"/>
    <xf numFmtId="0" fontId="0" fillId="6" borderId="1" xfId="0" applyFill="1" applyBorder="1"/>
    <xf numFmtId="0" fontId="3" fillId="0" borderId="0" xfId="2"/>
    <xf numFmtId="0" fontId="0" fillId="8" borderId="2" xfId="0" applyFill="1" applyBorder="1" applyAlignment="1">
      <alignment wrapText="1"/>
    </xf>
    <xf numFmtId="0" fontId="4" fillId="8" borderId="3" xfId="0" applyFont="1" applyFill="1" applyBorder="1" applyAlignment="1">
      <alignment horizontal="justify" vertical="center" wrapText="1"/>
    </xf>
    <xf numFmtId="0" fontId="4" fillId="8" borderId="4" xfId="0" applyFont="1" applyFill="1" applyBorder="1" applyAlignment="1">
      <alignment horizontal="justify" vertical="center" wrapText="1"/>
    </xf>
    <xf numFmtId="0" fontId="0" fillId="8" borderId="5" xfId="0" applyFill="1" applyBorder="1" applyAlignment="1">
      <alignment wrapText="1"/>
    </xf>
    <xf numFmtId="0" fontId="5" fillId="8" borderId="5" xfId="0" applyFont="1" applyFill="1" applyBorder="1" applyAlignment="1">
      <alignment horizontal="justify" vertical="center" wrapText="1"/>
    </xf>
    <xf numFmtId="0" fontId="6" fillId="8" borderId="5" xfId="0" applyFont="1" applyFill="1" applyBorder="1" applyAlignment="1">
      <alignment horizontal="justify" vertical="center" wrapText="1"/>
    </xf>
    <xf numFmtId="0" fontId="7" fillId="8" borderId="5" xfId="0" applyFont="1" applyFill="1" applyBorder="1" applyAlignment="1">
      <alignment horizontal="justify" vertical="center" wrapText="1"/>
    </xf>
    <xf numFmtId="0" fontId="8" fillId="8" borderId="5" xfId="0" applyFont="1" applyFill="1" applyBorder="1" applyAlignment="1">
      <alignment horizontal="justify" vertical="center" wrapText="1"/>
    </xf>
    <xf numFmtId="0" fontId="9" fillId="8" borderId="5" xfId="0" applyFont="1" applyFill="1" applyBorder="1" applyAlignment="1">
      <alignment horizontal="justify" vertical="center" wrapText="1"/>
    </xf>
    <xf numFmtId="0" fontId="10" fillId="8" borderId="5" xfId="0" applyFont="1" applyFill="1" applyBorder="1" applyAlignment="1">
      <alignment horizontal="justify" vertical="center" wrapText="1"/>
    </xf>
    <xf numFmtId="0" fontId="11" fillId="8" borderId="5" xfId="0" applyFont="1" applyFill="1" applyBorder="1" applyAlignment="1">
      <alignment horizontal="justify" vertical="center" wrapText="1"/>
    </xf>
    <xf numFmtId="0" fontId="4" fillId="8" borderId="5" xfId="0" applyFont="1" applyFill="1" applyBorder="1" applyAlignment="1">
      <alignment horizontal="justify" vertical="center" wrapText="1"/>
    </xf>
    <xf numFmtId="0" fontId="12" fillId="8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3" fillId="9" borderId="0" xfId="0" applyFont="1" applyFill="1" applyAlignment="1">
      <alignment horizontal="right" vertical="center"/>
    </xf>
    <xf numFmtId="0" fontId="13" fillId="10" borderId="0" xfId="0" applyFont="1" applyFill="1" applyAlignment="1">
      <alignment horizontal="right" vertical="center"/>
    </xf>
    <xf numFmtId="0" fontId="13" fillId="11" borderId="0" xfId="0" applyFont="1" applyFill="1" applyAlignment="1">
      <alignment horizontal="right" vertical="center"/>
    </xf>
    <xf numFmtId="0" fontId="13" fillId="12" borderId="0" xfId="0" applyFont="1" applyFill="1" applyAlignment="1">
      <alignment horizontal="right" vertical="center"/>
    </xf>
    <xf numFmtId="0" fontId="13" fillId="13" borderId="0" xfId="0" applyFont="1" applyFill="1" applyAlignment="1">
      <alignment horizontal="right" vertical="center"/>
    </xf>
    <xf numFmtId="0" fontId="13" fillId="14" borderId="0" xfId="0" applyFont="1" applyFill="1" applyAlignment="1">
      <alignment horizontal="right" vertical="center"/>
    </xf>
    <xf numFmtId="0" fontId="13" fillId="15" borderId="0" xfId="0" applyFont="1" applyFill="1" applyAlignment="1">
      <alignment horizontal="right" vertical="center"/>
    </xf>
    <xf numFmtId="0" fontId="15" fillId="8" borderId="5" xfId="0" applyFont="1" applyFill="1" applyBorder="1" applyAlignment="1">
      <alignment horizontal="justify" vertical="center" wrapText="1"/>
    </xf>
    <xf numFmtId="0" fontId="16" fillId="8" borderId="5" xfId="0" applyFont="1" applyFill="1" applyBorder="1" applyAlignment="1">
      <alignment horizontal="justify" vertical="center" wrapText="1"/>
    </xf>
    <xf numFmtId="164" fontId="0" fillId="0" borderId="0" xfId="0" applyNumberForma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7" fontId="17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3" fillId="7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16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7" borderId="0" xfId="0" applyFont="1" applyFill="1" applyAlignment="1">
      <alignment horizontal="right" vertical="center"/>
    </xf>
    <xf numFmtId="9" fontId="13" fillId="3" borderId="0" xfId="0" applyNumberFormat="1" applyFont="1" applyFill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9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2" quotePrefix="1"/>
    <xf numFmtId="16" fontId="0" fillId="0" borderId="0" xfId="0" applyNumberFormat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83</xdr:row>
      <xdr:rowOff>66675</xdr:rowOff>
    </xdr:from>
    <xdr:to>
      <xdr:col>10</xdr:col>
      <xdr:colOff>504825</xdr:colOff>
      <xdr:row>98</xdr:row>
      <xdr:rowOff>133350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382C6FC-D117-483A-A386-B575B6D8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6002000"/>
          <a:ext cx="5457825" cy="292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104775</xdr:colOff>
      <xdr:row>84</xdr:row>
      <xdr:rowOff>180975</xdr:rowOff>
    </xdr:from>
    <xdr:to>
      <xdr:col>18</xdr:col>
      <xdr:colOff>571500</xdr:colOff>
      <xdr:row>97</xdr:row>
      <xdr:rowOff>114300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D5A1255-DE5D-43BD-849C-65F24E75C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6306800"/>
          <a:ext cx="3514725" cy="240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66674</xdr:rowOff>
    </xdr:from>
    <xdr:to>
      <xdr:col>9</xdr:col>
      <xdr:colOff>95250</xdr:colOff>
      <xdr:row>20</xdr:row>
      <xdr:rowOff>171449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A2FAB7E1-78B2-4807-9E8F-291003CA127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47674"/>
          <a:ext cx="5200650" cy="3533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1492DE6-6CE5-444D-B015-3E48DD7C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4587EFA-E867-44BB-BB03-AF96D011B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lep" id="{F1AF593F-D7E1-44DA-88E2-B67F5B973F59}" userId="belep" providerId="None"/>
</personList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12</v>
    <v>5</v>
  </rv>
</rvData>
</file>

<file path=xl/richData/rdrichvaluestructure.xml><?xml version="1.0" encoding="utf-8"?>
<rvStructures xmlns="http://schemas.microsoft.com/office/spreadsheetml/2017/richdata" count="1">
  <s t="_error">
    <k n="errorType" t="i"/>
    <k n="field" t="s"/>
  </s>
</rvStructur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100596-043C-496E-AD9C-96E8A0A14E79}" name="Táblázat1" displayName="Táblázat1" ref="C4:K14" totalsRowShown="0">
  <autoFilter ref="C4:K14" xr:uid="{904F600A-184C-407B-AB94-D243FE1DF20D}"/>
  <tableColumns count="9">
    <tableColumn id="1" xr3:uid="{26FF7166-5981-493A-924E-7B4D7FC9C366}" name="Oszlop1"/>
    <tableColumn id="2" xr3:uid="{81063741-5EAB-4989-AEC3-7ADD8240053F}" name="Oszlop2"/>
    <tableColumn id="3" xr3:uid="{7431209B-3882-4195-B8DB-357D971EF528}" name="Oszlop3"/>
    <tableColumn id="4" xr3:uid="{6074B51F-8298-4EB8-88D5-27C5150609AF}" name="Oszlop4"/>
    <tableColumn id="5" xr3:uid="{25580A25-6D2F-456B-9069-1D255E4E5886}" name="Oszlop5"/>
    <tableColumn id="6" xr3:uid="{3ABA0457-46D7-4C91-B751-4141CB4CBB20}" name="Oszlop6"/>
    <tableColumn id="7" xr3:uid="{EC558356-C5ED-4C9F-BC07-93C415B705CF}" name="Oszlop7"/>
    <tableColumn id="8" xr3:uid="{52621669-A51E-4A34-B137-0F50146CBD03}" name="Oszlop8"/>
    <tableColumn id="9" xr3:uid="{7A5409B0-D7A5-47D2-94E9-90361F73F549}" name="Oszlop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" dT="2019-05-15T14:39:37.99" personId="{F1AF593F-D7E1-44DA-88E2-B67F5B973F59}" id="{B9BDA156-9348-4D59-9B35-ED5441C292A8}">
    <text>Green=Pass
Red=Failed</text>
  </threadedComment>
  <threadedComment ref="F5" dT="2019-05-15T14:41:51.87" personId="{F1AF593F-D7E1-44DA-88E2-B67F5B973F59}" id="{12654CDD-4B45-4B2A-8997-370D76AA2B12}">
    <text>Red=Failed
Yellow=Satisfactory
Green=Good</text>
  </threadedComment>
  <threadedComment ref="F7" dT="2019-05-15T14:37:02.81" personId="{F1AF593F-D7E1-44DA-88E2-B67F5B973F59}" id="{1C013CF7-3238-448F-AD17-D13223E9B62A}">
    <text>Great Good Poor Concerning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4" dT="2019-05-15T14:39:37.99" personId="{F1AF593F-D7E1-44DA-88E2-B67F5B973F59}" id="{257D7E29-DE72-4AF1-B9CE-29641E30400F}">
    <text>Green=Pass
Red=Failed</text>
  </threadedComment>
  <threadedComment ref="F5" dT="2019-05-15T14:41:51.87" personId="{F1AF593F-D7E1-44DA-88E2-B67F5B973F59}" id="{F1DAE8FE-C82A-409F-B7E0-0D4E52F80BC4}">
    <text>Red=Failed
Yellow=Satisfactory
Green=Good</text>
  </threadedComment>
  <threadedComment ref="F7" dT="2019-05-15T14:37:02.81" personId="{F1AF593F-D7E1-44DA-88E2-B67F5B973F59}" id="{016839C2-E5E5-4242-934C-E0B476D9D1AD}">
    <text>Great Good Poor Concerning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354847620190522173910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quilt/?C=M;O=D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834139201905151733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FCD4-4E8A-4F2F-B715-7442226510AD}">
  <dimension ref="A1:K17"/>
  <sheetViews>
    <sheetView zoomScale="130" zoomScaleNormal="130" workbookViewId="0">
      <selection activeCell="H8" sqref="H8"/>
    </sheetView>
  </sheetViews>
  <sheetFormatPr defaultColWidth="28.85546875" defaultRowHeight="15" x14ac:dyDescent="0.25"/>
  <cols>
    <col min="1" max="1" width="9.42578125" bestFit="1" customWidth="1"/>
    <col min="2" max="2" width="12.7109375" bestFit="1" customWidth="1"/>
    <col min="3" max="3" width="28.28515625" bestFit="1" customWidth="1"/>
    <col min="4" max="4" width="19.85546875" bestFit="1" customWidth="1"/>
    <col min="5" max="5" width="25.140625" bestFit="1" customWidth="1"/>
    <col min="6" max="6" width="10.42578125" bestFit="1" customWidth="1"/>
    <col min="7" max="7" width="14.7109375" bestFit="1" customWidth="1"/>
    <col min="8" max="8" width="10.42578125" customWidth="1"/>
    <col min="9" max="9" width="4.85546875" bestFit="1" customWidth="1"/>
    <col min="10" max="10" width="6.85546875" bestFit="1" customWidth="1"/>
    <col min="11" max="11" width="3" bestFit="1" customWidth="1"/>
  </cols>
  <sheetData>
    <row r="1" spans="1:11" x14ac:dyDescent="0.25">
      <c r="B1" t="s">
        <v>85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11" x14ac:dyDescent="0.25">
      <c r="B2" t="s">
        <v>83</v>
      </c>
      <c r="C2" t="s">
        <v>35</v>
      </c>
      <c r="D2" t="s">
        <v>35</v>
      </c>
      <c r="E2" t="s">
        <v>35</v>
      </c>
      <c r="F2" t="s">
        <v>35</v>
      </c>
      <c r="G2" t="s">
        <v>221</v>
      </c>
      <c r="H2" t="s">
        <v>224</v>
      </c>
    </row>
    <row r="3" spans="1:11" x14ac:dyDescent="0.25">
      <c r="A3" t="s">
        <v>28</v>
      </c>
      <c r="B3" t="s">
        <v>33</v>
      </c>
      <c r="C3" t="s">
        <v>34</v>
      </c>
      <c r="D3" t="s">
        <v>36</v>
      </c>
      <c r="E3" t="s">
        <v>82</v>
      </c>
      <c r="F3" t="s">
        <v>84</v>
      </c>
      <c r="G3" t="s">
        <v>86</v>
      </c>
      <c r="H3" t="s">
        <v>225</v>
      </c>
    </row>
    <row r="4" spans="1:11" x14ac:dyDescent="0.25">
      <c r="A4" t="s">
        <v>29</v>
      </c>
      <c r="B4" s="9" t="s">
        <v>40</v>
      </c>
      <c r="C4">
        <f>COUNTIF('S1'!$D$3:$K$3,'S1'!D3)</f>
        <v>6</v>
      </c>
      <c r="D4">
        <f>COUNTIF('S1'!$D$3:$K$3,'S1'!J3)</f>
        <v>2</v>
      </c>
      <c r="E4">
        <f>C4+D4</f>
        <v>8</v>
      </c>
      <c r="F4">
        <v>2</v>
      </c>
      <c r="G4" s="34">
        <f>COUNTIF('S1'!$D$13:$I$13,'S1'!D13)-COUNTIF('S1'!$D$13:$I$13,'S1'!H13)</f>
        <v>0</v>
      </c>
      <c r="H4">
        <v>1</v>
      </c>
    </row>
    <row r="5" spans="1:11" x14ac:dyDescent="0.25">
      <c r="A5" t="s">
        <v>30</v>
      </c>
      <c r="B5" s="9" t="s">
        <v>40</v>
      </c>
      <c r="C5">
        <f>COUNTIF('S2'!$C$1:$I$1,'S2'!C1)</f>
        <v>5</v>
      </c>
      <c r="D5">
        <f>COUNTIF('S2'!$C$1:$I$1,'S2'!D1)</f>
        <v>2</v>
      </c>
      <c r="E5">
        <f t="shared" ref="E5:E8" si="0">C5+D5</f>
        <v>7</v>
      </c>
      <c r="F5">
        <v>3</v>
      </c>
      <c r="G5">
        <f>COUNTIF('S2'!$C$11:$I$11,'S2'!C11)-COUNTIF('S2'!$C$11:$I$11,'S2'!H11)</f>
        <v>-1</v>
      </c>
      <c r="H5">
        <v>1</v>
      </c>
    </row>
    <row r="6" spans="1:11" x14ac:dyDescent="0.25">
      <c r="A6" t="s">
        <v>31</v>
      </c>
      <c r="B6" s="9" t="s">
        <v>56</v>
      </c>
      <c r="C6">
        <f>COUNTIF('S3'!$C$2:$I$2,'S3'!C2)</f>
        <v>5</v>
      </c>
      <c r="D6">
        <f>COUNTIF('S3'!$C$2:$I$2,'S3'!D2)</f>
        <v>2</v>
      </c>
      <c r="E6">
        <f t="shared" si="0"/>
        <v>7</v>
      </c>
      <c r="F6">
        <v>99</v>
      </c>
      <c r="G6">
        <f>COUNTIF('S3'!$C$22:$I$22,'S3'!C22)-COUNTIF('S3'!$C$22:$I$22,'S3'!F22)</f>
        <v>-1</v>
      </c>
      <c r="H6">
        <v>1</v>
      </c>
    </row>
    <row r="7" spans="1:11" x14ac:dyDescent="0.25">
      <c r="A7" t="s">
        <v>32</v>
      </c>
      <c r="B7" s="9" t="s">
        <v>40</v>
      </c>
      <c r="C7">
        <f>COUNTIF('S4'!$C$2:$I$2,'S4'!D2)</f>
        <v>3</v>
      </c>
      <c r="D7">
        <f>COUNTIF('S4'!$C$2:$I$2,'S4'!E2)</f>
        <v>2</v>
      </c>
      <c r="E7">
        <f t="shared" si="0"/>
        <v>5</v>
      </c>
      <c r="F7">
        <v>4</v>
      </c>
      <c r="G7">
        <f>COUNTIF('S4'!$D$12:$G$12,'S4'!D12)-COUNTIF('S4'!$D$12:$G$12,'S4'!G12)</f>
        <v>1</v>
      </c>
      <c r="H7">
        <v>1</v>
      </c>
    </row>
    <row r="8" spans="1:11" x14ac:dyDescent="0.25">
      <c r="A8" t="s">
        <v>147</v>
      </c>
      <c r="B8" s="56" t="s">
        <v>56</v>
      </c>
      <c r="C8">
        <f>COUNT('S5'!B9:G9)</f>
        <v>6</v>
      </c>
      <c r="D8">
        <v>1</v>
      </c>
      <c r="E8">
        <f t="shared" si="0"/>
        <v>7</v>
      </c>
      <c r="F8">
        <v>99</v>
      </c>
      <c r="G8">
        <f>COUNTIF('S5'!$B$24:$G$24,'S5'!B24)-0</f>
        <v>6</v>
      </c>
      <c r="H8">
        <v>1</v>
      </c>
    </row>
    <row r="12" spans="1:11" x14ac:dyDescent="0.25">
      <c r="A12" t="str">
        <f>A3</f>
        <v>OAM</v>
      </c>
      <c r="B12" t="str">
        <f t="shared" ref="B12:G12" si="1">B3</f>
        <v>URL SOURCE</v>
      </c>
      <c r="C12" t="str">
        <f t="shared" si="1"/>
        <v xml:space="preserve">Number of the raw attributes </v>
      </c>
      <c r="D12" t="str">
        <f t="shared" si="1"/>
        <v>Secondary attributes</v>
      </c>
      <c r="E12" t="str">
        <f t="shared" si="1"/>
        <v>Total number of attributes</v>
      </c>
      <c r="F12" t="str">
        <f t="shared" si="1"/>
        <v>Sensibility</v>
      </c>
      <c r="G12" t="str">
        <f t="shared" si="1"/>
        <v>Objectivity</v>
      </c>
      <c r="H12" t="s">
        <v>91</v>
      </c>
      <c r="I12" t="s">
        <v>92</v>
      </c>
      <c r="J12" t="s">
        <v>144</v>
      </c>
      <c r="K12" t="s">
        <v>145</v>
      </c>
    </row>
    <row r="13" spans="1:11" x14ac:dyDescent="0.25">
      <c r="A13" t="str">
        <f t="shared" ref="A13:A16" si="2">A4</f>
        <v>System 1</v>
      </c>
      <c r="C13">
        <f>RANK(C4,C$4:C$8,C$1)</f>
        <v>1</v>
      </c>
      <c r="D13">
        <f t="shared" ref="D13:G13" si="3">RANK(D4,D$4:D$8,D$1)</f>
        <v>1</v>
      </c>
      <c r="E13">
        <f t="shared" si="3"/>
        <v>1</v>
      </c>
      <c r="F13">
        <f t="shared" si="3"/>
        <v>5</v>
      </c>
      <c r="G13">
        <f t="shared" si="3"/>
        <v>3</v>
      </c>
      <c r="H13">
        <v>100</v>
      </c>
      <c r="I13">
        <v>1</v>
      </c>
      <c r="J13">
        <f>robot2!G29</f>
        <v>100</v>
      </c>
      <c r="K13">
        <v>2</v>
      </c>
    </row>
    <row r="14" spans="1:11" x14ac:dyDescent="0.25">
      <c r="A14" t="str">
        <f t="shared" si="2"/>
        <v>System 2</v>
      </c>
      <c r="C14">
        <f t="shared" ref="C14:G14" si="4">RANK(C5,C$4:C$8,C$1)</f>
        <v>3</v>
      </c>
      <c r="D14">
        <f t="shared" si="4"/>
        <v>1</v>
      </c>
      <c r="E14">
        <f t="shared" si="4"/>
        <v>2</v>
      </c>
      <c r="F14">
        <f t="shared" si="4"/>
        <v>4</v>
      </c>
      <c r="G14">
        <f t="shared" si="4"/>
        <v>4</v>
      </c>
      <c r="H14">
        <v>100</v>
      </c>
      <c r="I14">
        <v>3</v>
      </c>
      <c r="J14">
        <f>robot2!G30</f>
        <v>98.5</v>
      </c>
      <c r="K14">
        <v>4</v>
      </c>
    </row>
    <row r="15" spans="1:11" x14ac:dyDescent="0.25">
      <c r="A15" t="str">
        <f t="shared" si="2"/>
        <v>System 3</v>
      </c>
      <c r="C15">
        <f t="shared" ref="C15:G15" si="5">RANK(C6,C$4:C$8,C$1)</f>
        <v>3</v>
      </c>
      <c r="D15">
        <f t="shared" si="5"/>
        <v>1</v>
      </c>
      <c r="E15">
        <f t="shared" si="5"/>
        <v>2</v>
      </c>
      <c r="F15">
        <f t="shared" si="5"/>
        <v>1</v>
      </c>
      <c r="G15">
        <f t="shared" si="5"/>
        <v>4</v>
      </c>
      <c r="H15">
        <v>100</v>
      </c>
      <c r="I15">
        <v>2</v>
      </c>
      <c r="J15">
        <f>robot2!G31</f>
        <v>101.5</v>
      </c>
      <c r="K15">
        <v>1</v>
      </c>
    </row>
    <row r="16" spans="1:11" x14ac:dyDescent="0.25">
      <c r="A16" t="str">
        <f t="shared" si="2"/>
        <v>System 4</v>
      </c>
      <c r="C16">
        <f t="shared" ref="C16:G17" si="6">RANK(C7,C$4:C$8,C$1)</f>
        <v>5</v>
      </c>
      <c r="D16">
        <f t="shared" si="6"/>
        <v>1</v>
      </c>
      <c r="E16">
        <f t="shared" si="6"/>
        <v>5</v>
      </c>
      <c r="F16">
        <f t="shared" si="6"/>
        <v>3</v>
      </c>
      <c r="G16">
        <f t="shared" si="6"/>
        <v>2</v>
      </c>
      <c r="H16">
        <v>100</v>
      </c>
      <c r="I16">
        <v>4</v>
      </c>
      <c r="J16">
        <f>robot2!G32</f>
        <v>100</v>
      </c>
      <c r="K16">
        <v>2</v>
      </c>
    </row>
    <row r="17" spans="1:11" x14ac:dyDescent="0.25">
      <c r="A17" t="s">
        <v>147</v>
      </c>
      <c r="C17">
        <f t="shared" si="6"/>
        <v>1</v>
      </c>
      <c r="D17">
        <f t="shared" si="6"/>
        <v>5</v>
      </c>
      <c r="E17">
        <f t="shared" si="6"/>
        <v>2</v>
      </c>
      <c r="F17">
        <f t="shared" si="6"/>
        <v>1</v>
      </c>
      <c r="G17">
        <f t="shared" si="6"/>
        <v>1</v>
      </c>
      <c r="H17">
        <v>100</v>
      </c>
      <c r="J17">
        <f>robot2!G33</f>
        <v>100</v>
      </c>
      <c r="K17">
        <v>2</v>
      </c>
    </row>
  </sheetData>
  <conditionalFormatting sqref="C13:G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7:G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4" location="'S1'!A1" display="…" xr:uid="{58A04D50-37A3-420F-83C5-C88AAAC9C27D}"/>
    <hyperlink ref="B5" location="'S2'!A1" display="…" xr:uid="{17A36611-6D1C-4212-A867-BDDA320C4A96}"/>
    <hyperlink ref="B6" location="'S3'!A1" display="..." xr:uid="{59A40541-7BFA-4891-A6CB-4B7F15328A92}"/>
    <hyperlink ref="B7" location="'S4'!A1" display="…" xr:uid="{F75CB19C-F5B6-4C5C-A94A-7EB480EF7D0C}"/>
    <hyperlink ref="B8" location="'S5'!A1" display="..." xr:uid="{9B137F21-B74A-4A52-87B4-9560FC9444AF}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FB3-E48A-4506-A9EE-62286378388E}">
  <dimension ref="A1:K81"/>
  <sheetViews>
    <sheetView tabSelected="1" topLeftCell="A3" zoomScale="90" zoomScaleNormal="90" workbookViewId="0">
      <selection activeCell="G27" sqref="G27"/>
    </sheetView>
  </sheetViews>
  <sheetFormatPr defaultColWidth="14.42578125" defaultRowHeight="15" x14ac:dyDescent="0.25"/>
  <cols>
    <col min="2" max="2" width="19.42578125" customWidth="1"/>
    <col min="3" max="3" width="12.5703125" customWidth="1"/>
    <col min="4" max="4" width="16.5703125" customWidth="1"/>
    <col min="5" max="5" width="15.140625" customWidth="1"/>
    <col min="6" max="6" width="18.7109375" customWidth="1"/>
    <col min="7" max="7" width="19.7109375" customWidth="1"/>
    <col min="8" max="8" width="11.28515625" bestFit="1" customWidth="1"/>
    <col min="9" max="9" width="9.140625" bestFit="1" customWidth="1"/>
    <col min="10" max="10" width="11.28515625" bestFit="1" customWidth="1"/>
  </cols>
  <sheetData>
    <row r="1" spans="1:11" x14ac:dyDescent="0.25">
      <c r="B1" t="s">
        <v>186</v>
      </c>
    </row>
    <row r="4" spans="1:11" ht="15.75" x14ac:dyDescent="0.25">
      <c r="A4" t="s">
        <v>210</v>
      </c>
      <c r="B4" s="43">
        <v>0</v>
      </c>
      <c r="C4">
        <v>0</v>
      </c>
      <c r="D4" s="44">
        <v>0</v>
      </c>
      <c r="E4" s="45">
        <v>0</v>
      </c>
      <c r="F4">
        <v>0</v>
      </c>
      <c r="G4">
        <v>0</v>
      </c>
    </row>
    <row r="5" spans="1:11" ht="15.75" x14ac:dyDescent="0.25">
      <c r="A5" t="s">
        <v>211</v>
      </c>
      <c r="B5" s="43" t="s">
        <v>202</v>
      </c>
      <c r="C5" s="46" t="s">
        <v>205</v>
      </c>
      <c r="D5" s="44" t="s">
        <v>202</v>
      </c>
      <c r="E5" s="45" t="s">
        <v>202</v>
      </c>
      <c r="F5" s="47" t="s">
        <v>202</v>
      </c>
      <c r="G5" s="46" t="s">
        <v>202</v>
      </c>
      <c r="H5" s="46"/>
      <c r="I5" s="46"/>
      <c r="J5" s="46"/>
    </row>
    <row r="6" spans="1:11" x14ac:dyDescent="0.25">
      <c r="A6" t="s">
        <v>217</v>
      </c>
      <c r="B6" t="s">
        <v>218</v>
      </c>
      <c r="C6" t="s">
        <v>218</v>
      </c>
      <c r="D6" s="47" t="s">
        <v>218</v>
      </c>
      <c r="E6" t="s">
        <v>218</v>
      </c>
      <c r="F6" t="s">
        <v>218</v>
      </c>
      <c r="G6" t="s">
        <v>218</v>
      </c>
      <c r="H6" t="s">
        <v>216</v>
      </c>
      <c r="I6" t="s">
        <v>206</v>
      </c>
      <c r="J6" s="47" t="s">
        <v>216</v>
      </c>
    </row>
    <row r="7" spans="1:11" x14ac:dyDescent="0.25">
      <c r="A7" t="s">
        <v>212</v>
      </c>
      <c r="B7" s="47" t="s">
        <v>207</v>
      </c>
      <c r="C7" s="47" t="s">
        <v>204</v>
      </c>
      <c r="D7" s="44" t="s">
        <v>209</v>
      </c>
      <c r="E7" s="45" t="s">
        <v>208</v>
      </c>
      <c r="F7" s="47" t="s">
        <v>214</v>
      </c>
      <c r="G7" s="47" t="s">
        <v>215</v>
      </c>
      <c r="H7" s="47" t="s">
        <v>149</v>
      </c>
      <c r="I7" t="s">
        <v>166</v>
      </c>
      <c r="J7" s="47" t="s">
        <v>148</v>
      </c>
    </row>
    <row r="8" spans="1:11" x14ac:dyDescent="0.25">
      <c r="A8" t="s">
        <v>213</v>
      </c>
      <c r="B8" s="47" t="s">
        <v>150</v>
      </c>
      <c r="C8" s="48" t="s">
        <v>151</v>
      </c>
      <c r="D8" s="44" t="s">
        <v>152</v>
      </c>
      <c r="E8" s="45" t="s">
        <v>153</v>
      </c>
      <c r="F8" s="47" t="s">
        <v>154</v>
      </c>
      <c r="G8" s="49" t="s">
        <v>155</v>
      </c>
      <c r="H8" s="48" t="s">
        <v>156</v>
      </c>
      <c r="I8" s="45" t="s">
        <v>152</v>
      </c>
      <c r="J8" s="47" t="s">
        <v>157</v>
      </c>
      <c r="K8" t="s">
        <v>203</v>
      </c>
    </row>
    <row r="9" spans="1:11" x14ac:dyDescent="0.25">
      <c r="A9" t="s">
        <v>187</v>
      </c>
      <c r="B9" s="50">
        <v>9</v>
      </c>
      <c r="C9" s="50">
        <v>0</v>
      </c>
      <c r="D9" s="51">
        <v>6</v>
      </c>
      <c r="E9" s="52">
        <v>0.92</v>
      </c>
      <c r="F9" s="50">
        <v>6</v>
      </c>
      <c r="G9" s="50">
        <v>15</v>
      </c>
      <c r="H9" s="50">
        <v>1</v>
      </c>
      <c r="I9" s="53">
        <v>0.5</v>
      </c>
      <c r="J9" s="50">
        <v>6</v>
      </c>
      <c r="K9">
        <f>SUM(B9:G9)</f>
        <v>36.92</v>
      </c>
    </row>
    <row r="10" spans="1:11" x14ac:dyDescent="0.25">
      <c r="A10" t="s">
        <v>188</v>
      </c>
      <c r="B10" s="50">
        <v>10</v>
      </c>
      <c r="C10" s="50">
        <v>2</v>
      </c>
      <c r="D10" s="51">
        <v>9</v>
      </c>
      <c r="E10" s="52">
        <v>0.62</v>
      </c>
      <c r="F10" s="50">
        <v>7</v>
      </c>
      <c r="G10" s="50">
        <v>12</v>
      </c>
      <c r="H10" s="50">
        <v>0</v>
      </c>
      <c r="I10" s="53">
        <v>0.6</v>
      </c>
      <c r="J10" s="50">
        <v>5</v>
      </c>
      <c r="K10">
        <f t="shared" ref="K10:K23" si="0">SUM(B10:G10)</f>
        <v>40.620000000000005</v>
      </c>
    </row>
    <row r="11" spans="1:11" x14ac:dyDescent="0.25">
      <c r="A11" t="s">
        <v>189</v>
      </c>
      <c r="B11" s="50">
        <v>12</v>
      </c>
      <c r="C11" s="50">
        <v>1</v>
      </c>
      <c r="D11" s="51">
        <v>8</v>
      </c>
      <c r="E11" s="52">
        <v>0.5</v>
      </c>
      <c r="F11" s="50">
        <v>9</v>
      </c>
      <c r="G11" s="50">
        <v>19</v>
      </c>
      <c r="H11" s="50">
        <v>1</v>
      </c>
      <c r="I11" s="53">
        <v>0.75</v>
      </c>
      <c r="J11" s="50">
        <v>7</v>
      </c>
      <c r="K11">
        <f t="shared" si="0"/>
        <v>49.5</v>
      </c>
    </row>
    <row r="12" spans="1:11" x14ac:dyDescent="0.25">
      <c r="A12" t="s">
        <v>190</v>
      </c>
      <c r="B12" s="50">
        <v>17</v>
      </c>
      <c r="C12" s="50">
        <v>5</v>
      </c>
      <c r="D12" s="51">
        <v>0</v>
      </c>
      <c r="E12" s="52">
        <v>0.91</v>
      </c>
      <c r="F12" s="50">
        <v>3</v>
      </c>
      <c r="G12" s="50">
        <v>9</v>
      </c>
      <c r="H12" s="50">
        <v>1</v>
      </c>
      <c r="I12" s="53">
        <v>0.65</v>
      </c>
      <c r="J12" s="50">
        <v>8</v>
      </c>
      <c r="K12">
        <f t="shared" si="0"/>
        <v>34.909999999999997</v>
      </c>
    </row>
    <row r="13" spans="1:11" x14ac:dyDescent="0.25">
      <c r="A13" t="s">
        <v>191</v>
      </c>
      <c r="B13" s="50">
        <v>20</v>
      </c>
      <c r="C13" s="50">
        <v>4</v>
      </c>
      <c r="D13" s="51">
        <v>0</v>
      </c>
      <c r="E13" s="52">
        <v>0.71</v>
      </c>
      <c r="F13" s="50">
        <v>6</v>
      </c>
      <c r="G13" s="50">
        <v>13</v>
      </c>
      <c r="H13" s="50">
        <v>1</v>
      </c>
      <c r="I13" s="53">
        <v>0.9</v>
      </c>
      <c r="J13" s="50">
        <v>2</v>
      </c>
      <c r="K13">
        <f t="shared" si="0"/>
        <v>43.71</v>
      </c>
    </row>
    <row r="14" spans="1:11" x14ac:dyDescent="0.25">
      <c r="A14" t="s">
        <v>192</v>
      </c>
      <c r="B14" s="50">
        <v>2</v>
      </c>
      <c r="C14" s="50">
        <v>3</v>
      </c>
      <c r="D14" s="51">
        <v>0</v>
      </c>
      <c r="E14" s="52">
        <v>0.35</v>
      </c>
      <c r="F14" s="50">
        <v>2</v>
      </c>
      <c r="G14" s="50">
        <v>16</v>
      </c>
      <c r="H14" s="50">
        <v>0</v>
      </c>
      <c r="I14" s="53">
        <v>0.95</v>
      </c>
      <c r="J14" s="50">
        <v>6</v>
      </c>
      <c r="K14">
        <f t="shared" si="0"/>
        <v>23.35</v>
      </c>
    </row>
    <row r="15" spans="1:11" x14ac:dyDescent="0.25">
      <c r="A15" t="s">
        <v>193</v>
      </c>
      <c r="B15" s="50">
        <v>6</v>
      </c>
      <c r="C15" s="50">
        <v>1</v>
      </c>
      <c r="D15" s="51">
        <v>7</v>
      </c>
      <c r="E15" s="52">
        <v>0.6</v>
      </c>
      <c r="F15" s="50">
        <v>1</v>
      </c>
      <c r="G15" s="50">
        <v>14</v>
      </c>
      <c r="H15" s="50">
        <v>0</v>
      </c>
      <c r="I15" s="53">
        <v>0.35</v>
      </c>
      <c r="J15" s="50">
        <v>4</v>
      </c>
      <c r="K15">
        <f t="shared" si="0"/>
        <v>29.6</v>
      </c>
    </row>
    <row r="16" spans="1:11" x14ac:dyDescent="0.25">
      <c r="A16" t="s">
        <v>194</v>
      </c>
      <c r="B16" s="50">
        <v>9</v>
      </c>
      <c r="C16" s="50">
        <v>5</v>
      </c>
      <c r="D16" s="51">
        <v>6</v>
      </c>
      <c r="E16" s="52">
        <v>0.91</v>
      </c>
      <c r="F16" s="50">
        <v>0</v>
      </c>
      <c r="G16" s="50">
        <v>17</v>
      </c>
      <c r="H16" s="50">
        <v>0</v>
      </c>
      <c r="I16" s="53">
        <v>0.45</v>
      </c>
      <c r="J16" s="50">
        <v>3</v>
      </c>
      <c r="K16">
        <f t="shared" si="0"/>
        <v>37.909999999999997</v>
      </c>
    </row>
    <row r="17" spans="1:11" x14ac:dyDescent="0.25">
      <c r="A17" t="s">
        <v>195</v>
      </c>
      <c r="B17" s="50">
        <v>15</v>
      </c>
      <c r="C17" s="50">
        <v>2</v>
      </c>
      <c r="D17" s="51">
        <v>3</v>
      </c>
      <c r="E17" s="52">
        <v>0.35</v>
      </c>
      <c r="F17" s="50">
        <v>9</v>
      </c>
      <c r="G17" s="50">
        <v>6</v>
      </c>
      <c r="H17" s="50">
        <v>0</v>
      </c>
      <c r="I17" s="53">
        <v>0.62</v>
      </c>
      <c r="J17" s="50">
        <v>9</v>
      </c>
      <c r="K17">
        <f t="shared" si="0"/>
        <v>35.35</v>
      </c>
    </row>
    <row r="18" spans="1:11" x14ac:dyDescent="0.25">
      <c r="A18" t="s">
        <v>196</v>
      </c>
      <c r="B18" s="50">
        <v>0</v>
      </c>
      <c r="C18" s="50">
        <v>1</v>
      </c>
      <c r="D18" s="51">
        <v>1</v>
      </c>
      <c r="E18" s="52">
        <v>0.4</v>
      </c>
      <c r="F18" s="50">
        <v>10</v>
      </c>
      <c r="G18" s="50">
        <v>8</v>
      </c>
      <c r="H18" s="50">
        <v>1</v>
      </c>
      <c r="I18" s="53">
        <v>0.89</v>
      </c>
      <c r="J18" s="50">
        <v>10</v>
      </c>
      <c r="K18">
        <f t="shared" si="0"/>
        <v>20.399999999999999</v>
      </c>
    </row>
    <row r="19" spans="1:11" x14ac:dyDescent="0.25">
      <c r="A19" t="s">
        <v>197</v>
      </c>
      <c r="B19" s="50">
        <v>16</v>
      </c>
      <c r="C19" s="50">
        <v>1</v>
      </c>
      <c r="D19" s="51">
        <v>2</v>
      </c>
      <c r="E19" s="52">
        <v>0.55000000000000004</v>
      </c>
      <c r="F19" s="50">
        <v>6</v>
      </c>
      <c r="G19" s="50">
        <v>20</v>
      </c>
      <c r="H19" s="50">
        <v>1</v>
      </c>
      <c r="I19" s="53">
        <v>0.47</v>
      </c>
      <c r="J19" s="50">
        <v>9</v>
      </c>
      <c r="K19">
        <f t="shared" si="0"/>
        <v>45.55</v>
      </c>
    </row>
    <row r="20" spans="1:11" x14ac:dyDescent="0.25">
      <c r="A20" t="s">
        <v>198</v>
      </c>
      <c r="B20" s="50">
        <v>18</v>
      </c>
      <c r="C20" s="50">
        <v>3</v>
      </c>
      <c r="D20" s="51">
        <v>3</v>
      </c>
      <c r="E20" s="52">
        <v>0.48</v>
      </c>
      <c r="F20" s="50">
        <v>3</v>
      </c>
      <c r="G20" s="50">
        <v>11</v>
      </c>
      <c r="H20" s="50">
        <v>0</v>
      </c>
      <c r="I20" s="53">
        <v>0.64</v>
      </c>
      <c r="J20" s="50">
        <v>6</v>
      </c>
      <c r="K20">
        <f t="shared" si="0"/>
        <v>38.480000000000004</v>
      </c>
    </row>
    <row r="21" spans="1:11" x14ac:dyDescent="0.25">
      <c r="A21" t="s">
        <v>199</v>
      </c>
      <c r="B21" s="50">
        <v>9</v>
      </c>
      <c r="C21" s="50">
        <v>3</v>
      </c>
      <c r="D21" s="51">
        <v>1</v>
      </c>
      <c r="E21" s="52">
        <v>0.37</v>
      </c>
      <c r="F21" s="50">
        <v>8</v>
      </c>
      <c r="G21" s="50">
        <v>6</v>
      </c>
      <c r="H21" s="50">
        <v>1</v>
      </c>
      <c r="I21" s="53">
        <v>0.59</v>
      </c>
      <c r="J21" s="50">
        <v>4</v>
      </c>
      <c r="K21">
        <f t="shared" si="0"/>
        <v>27.369999999999997</v>
      </c>
    </row>
    <row r="22" spans="1:11" x14ac:dyDescent="0.25">
      <c r="A22" t="s">
        <v>200</v>
      </c>
      <c r="B22" s="50">
        <v>8</v>
      </c>
      <c r="C22" s="50">
        <v>5</v>
      </c>
      <c r="D22" s="51">
        <v>5</v>
      </c>
      <c r="E22" s="52">
        <v>0.6</v>
      </c>
      <c r="F22" s="50">
        <v>0</v>
      </c>
      <c r="G22" s="50">
        <v>8</v>
      </c>
      <c r="H22" s="50">
        <v>1</v>
      </c>
      <c r="I22" s="53">
        <v>0.8</v>
      </c>
      <c r="J22" s="50">
        <v>9</v>
      </c>
      <c r="K22">
        <f t="shared" si="0"/>
        <v>26.6</v>
      </c>
    </row>
    <row r="23" spans="1:11" x14ac:dyDescent="0.25">
      <c r="A23" t="s">
        <v>201</v>
      </c>
      <c r="B23" s="50">
        <v>20</v>
      </c>
      <c r="C23" s="50">
        <v>2</v>
      </c>
      <c r="D23" s="51">
        <v>9</v>
      </c>
      <c r="E23" s="52">
        <v>0.85</v>
      </c>
      <c r="F23" s="50">
        <v>4</v>
      </c>
      <c r="G23" s="50">
        <v>14</v>
      </c>
      <c r="H23" s="50">
        <v>1</v>
      </c>
      <c r="I23" s="53">
        <v>0.7</v>
      </c>
      <c r="J23" s="50">
        <v>0</v>
      </c>
      <c r="K23">
        <f t="shared" si="0"/>
        <v>49.85</v>
      </c>
    </row>
    <row r="24" spans="1:11" x14ac:dyDescent="0.25">
      <c r="A24" t="s">
        <v>219</v>
      </c>
      <c r="B24" t="s">
        <v>220</v>
      </c>
      <c r="C24" t="s">
        <v>220</v>
      </c>
      <c r="D24" s="44" t="s">
        <v>220</v>
      </c>
      <c r="E24" s="45" t="s">
        <v>220</v>
      </c>
      <c r="F24" t="s">
        <v>220</v>
      </c>
      <c r="G24" t="s">
        <v>220</v>
      </c>
    </row>
    <row r="25" spans="1:11" x14ac:dyDescent="0.25">
      <c r="B25" s="23"/>
    </row>
    <row r="26" spans="1:11" x14ac:dyDescent="0.25">
      <c r="B26" s="23" t="s">
        <v>158</v>
      </c>
    </row>
    <row r="27" spans="1:11" x14ac:dyDescent="0.25">
      <c r="B27" s="23" t="s">
        <v>159</v>
      </c>
    </row>
    <row r="28" spans="1:11" x14ac:dyDescent="0.25">
      <c r="B28" s="23" t="s">
        <v>160</v>
      </c>
    </row>
    <row r="29" spans="1:11" x14ac:dyDescent="0.25">
      <c r="B29" s="23" t="s">
        <v>161</v>
      </c>
    </row>
    <row r="30" spans="1:11" x14ac:dyDescent="0.25">
      <c r="B30" s="23" t="s">
        <v>160</v>
      </c>
    </row>
    <row r="31" spans="1:11" x14ac:dyDescent="0.25">
      <c r="B31" s="23" t="s">
        <v>162</v>
      </c>
    </row>
    <row r="32" spans="1:11" x14ac:dyDescent="0.25">
      <c r="B32" s="47" t="s">
        <v>163</v>
      </c>
    </row>
    <row r="33" spans="2:2" x14ac:dyDescent="0.25">
      <c r="B33" s="47" t="s">
        <v>164</v>
      </c>
    </row>
    <row r="34" spans="2:2" x14ac:dyDescent="0.25">
      <c r="B34" s="47" t="s">
        <v>165</v>
      </c>
    </row>
    <row r="35" spans="2:2" x14ac:dyDescent="0.25">
      <c r="B35" s="47" t="s">
        <v>166</v>
      </c>
    </row>
    <row r="36" spans="2:2" x14ac:dyDescent="0.25">
      <c r="B36" s="47"/>
    </row>
    <row r="37" spans="2:2" x14ac:dyDescent="0.25">
      <c r="B37" s="23" t="s">
        <v>167</v>
      </c>
    </row>
    <row r="38" spans="2:2" x14ac:dyDescent="0.25">
      <c r="B38" s="47"/>
    </row>
    <row r="39" spans="2:2" x14ac:dyDescent="0.25">
      <c r="B39" s="47" t="s">
        <v>168</v>
      </c>
    </row>
    <row r="40" spans="2:2" x14ac:dyDescent="0.25">
      <c r="B40" s="47"/>
    </row>
    <row r="41" spans="2:2" x14ac:dyDescent="0.25">
      <c r="B41" s="47"/>
    </row>
    <row r="42" spans="2:2" x14ac:dyDescent="0.25">
      <c r="B42" s="47" t="s">
        <v>160</v>
      </c>
    </row>
    <row r="43" spans="2:2" x14ac:dyDescent="0.25">
      <c r="B43" s="47" t="s">
        <v>169</v>
      </c>
    </row>
    <row r="44" spans="2:2" x14ac:dyDescent="0.25">
      <c r="B44" s="47" t="s">
        <v>170</v>
      </c>
    </row>
    <row r="45" spans="2:2" x14ac:dyDescent="0.25">
      <c r="B45" s="47"/>
    </row>
    <row r="46" spans="2:2" x14ac:dyDescent="0.25">
      <c r="B46" s="47" t="s">
        <v>171</v>
      </c>
    </row>
    <row r="47" spans="2:2" x14ac:dyDescent="0.25">
      <c r="B47" s="23" t="s">
        <v>172</v>
      </c>
    </row>
    <row r="48" spans="2:2" x14ac:dyDescent="0.25">
      <c r="B48" s="23" t="s">
        <v>160</v>
      </c>
    </row>
    <row r="49" spans="2:2" x14ac:dyDescent="0.25">
      <c r="B49" s="23" t="s">
        <v>173</v>
      </c>
    </row>
    <row r="50" spans="2:2" x14ac:dyDescent="0.25">
      <c r="B50" s="54">
        <v>7.0000000000000007E-2</v>
      </c>
    </row>
    <row r="51" spans="2:2" x14ac:dyDescent="0.25">
      <c r="B51" s="23"/>
    </row>
    <row r="52" spans="2:2" x14ac:dyDescent="0.25">
      <c r="B52" s="23" t="s">
        <v>174</v>
      </c>
    </row>
    <row r="53" spans="2:2" x14ac:dyDescent="0.25">
      <c r="B53" s="23" t="s">
        <v>175</v>
      </c>
    </row>
    <row r="54" spans="2:2" x14ac:dyDescent="0.25">
      <c r="B54" s="47" t="s">
        <v>166</v>
      </c>
    </row>
    <row r="55" spans="2:2" x14ac:dyDescent="0.25">
      <c r="B55" s="47" t="s">
        <v>176</v>
      </c>
    </row>
    <row r="56" spans="2:2" x14ac:dyDescent="0.25">
      <c r="B56" s="47"/>
    </row>
    <row r="57" spans="2:2" x14ac:dyDescent="0.25">
      <c r="B57" s="47"/>
    </row>
    <row r="58" spans="2:2" x14ac:dyDescent="0.25">
      <c r="B58" s="47"/>
    </row>
    <row r="59" spans="2:2" x14ac:dyDescent="0.25">
      <c r="B59" s="47"/>
    </row>
    <row r="60" spans="2:2" x14ac:dyDescent="0.25">
      <c r="B60" s="47"/>
    </row>
    <row r="61" spans="2:2" x14ac:dyDescent="0.25">
      <c r="B61" s="47" t="s">
        <v>177</v>
      </c>
    </row>
    <row r="62" spans="2:2" x14ac:dyDescent="0.25">
      <c r="B62" s="23"/>
    </row>
    <row r="63" spans="2:2" x14ac:dyDescent="0.25">
      <c r="B63" s="23"/>
    </row>
    <row r="64" spans="2:2" x14ac:dyDescent="0.25">
      <c r="B64" s="23" t="s">
        <v>178</v>
      </c>
    </row>
    <row r="65" spans="2:2" x14ac:dyDescent="0.25">
      <c r="B65" s="47"/>
    </row>
    <row r="66" spans="2:2" x14ac:dyDescent="0.25">
      <c r="B66" s="47" t="s">
        <v>179</v>
      </c>
    </row>
    <row r="67" spans="2:2" x14ac:dyDescent="0.25">
      <c r="B67" s="47"/>
    </row>
    <row r="68" spans="2:2" x14ac:dyDescent="0.25">
      <c r="B68" s="47"/>
    </row>
    <row r="70" spans="2:2" x14ac:dyDescent="0.25">
      <c r="B70" s="23" t="s">
        <v>180</v>
      </c>
    </row>
    <row r="71" spans="2:2" x14ac:dyDescent="0.25">
      <c r="B71" s="23"/>
    </row>
    <row r="72" spans="2:2" x14ac:dyDescent="0.25">
      <c r="B72" s="23" t="s">
        <v>163</v>
      </c>
    </row>
    <row r="74" spans="2:2" x14ac:dyDescent="0.25">
      <c r="B74" s="55" t="s">
        <v>181</v>
      </c>
    </row>
    <row r="75" spans="2:2" x14ac:dyDescent="0.25">
      <c r="B75" s="23" t="s">
        <v>182</v>
      </c>
    </row>
    <row r="76" spans="2:2" x14ac:dyDescent="0.25">
      <c r="B76" s="23" t="s">
        <v>183</v>
      </c>
    </row>
    <row r="78" spans="2:2" x14ac:dyDescent="0.25">
      <c r="B78" s="23" t="s">
        <v>184</v>
      </c>
    </row>
    <row r="79" spans="2:2" x14ac:dyDescent="0.25">
      <c r="B79" s="23"/>
    </row>
    <row r="80" spans="2:2" x14ac:dyDescent="0.25">
      <c r="B80" s="23"/>
    </row>
    <row r="81" spans="2:2" ht="23.25" x14ac:dyDescent="0.25">
      <c r="B81" s="23" t="s">
        <v>185</v>
      </c>
    </row>
  </sheetData>
  <conditionalFormatting sqref="K8:K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FB0F-3CD0-4C17-8388-E52426B9A4E8}">
  <dimension ref="A1:K16"/>
  <sheetViews>
    <sheetView zoomScaleNormal="100" workbookViewId="0">
      <selection activeCell="A17" sqref="A17"/>
    </sheetView>
  </sheetViews>
  <sheetFormatPr defaultColWidth="28.85546875" defaultRowHeight="15" x14ac:dyDescent="0.25"/>
  <cols>
    <col min="1" max="1" width="9.42578125" bestFit="1" customWidth="1"/>
    <col min="2" max="2" width="12.7109375" bestFit="1" customWidth="1"/>
    <col min="3" max="3" width="28.28515625" bestFit="1" customWidth="1"/>
    <col min="4" max="4" width="19.85546875" bestFit="1" customWidth="1"/>
    <col min="5" max="5" width="25.140625" bestFit="1" customWidth="1"/>
    <col min="6" max="6" width="10.42578125" bestFit="1" customWidth="1"/>
    <col min="7" max="7" width="14.7109375" bestFit="1" customWidth="1"/>
    <col min="8" max="8" width="5.140625" bestFit="1" customWidth="1"/>
    <col min="9" max="9" width="4.85546875" bestFit="1" customWidth="1"/>
    <col min="10" max="10" width="6.5703125" bestFit="1" customWidth="1"/>
    <col min="11" max="11" width="3" bestFit="1" customWidth="1"/>
  </cols>
  <sheetData>
    <row r="1" spans="1:11" x14ac:dyDescent="0.25">
      <c r="B1" t="s">
        <v>85</v>
      </c>
      <c r="C1">
        <v>0</v>
      </c>
      <c r="D1">
        <v>0</v>
      </c>
      <c r="E1">
        <v>0</v>
      </c>
      <c r="F1">
        <v>0</v>
      </c>
      <c r="G1">
        <v>0</v>
      </c>
    </row>
    <row r="2" spans="1:11" x14ac:dyDescent="0.25">
      <c r="B2" t="s">
        <v>83</v>
      </c>
      <c r="C2" t="s">
        <v>35</v>
      </c>
      <c r="D2" t="s">
        <v>35</v>
      </c>
      <c r="E2" t="s">
        <v>35</v>
      </c>
      <c r="F2" t="s">
        <v>35</v>
      </c>
      <c r="G2" t="s">
        <v>90</v>
      </c>
    </row>
    <row r="3" spans="1:11" x14ac:dyDescent="0.25">
      <c r="A3" t="s">
        <v>28</v>
      </c>
      <c r="B3" t="s">
        <v>33</v>
      </c>
      <c r="C3" t="s">
        <v>34</v>
      </c>
      <c r="D3" t="s">
        <v>36</v>
      </c>
      <c r="E3" t="s">
        <v>82</v>
      </c>
      <c r="F3" t="s">
        <v>84</v>
      </c>
      <c r="G3" t="s">
        <v>86</v>
      </c>
    </row>
    <row r="4" spans="1:11" x14ac:dyDescent="0.25">
      <c r="A4" t="s">
        <v>29</v>
      </c>
      <c r="B4" s="9" t="s">
        <v>40</v>
      </c>
      <c r="C4">
        <f>COUNTIF('S1'!$D$3:$K$3,'S1'!D3)</f>
        <v>6</v>
      </c>
      <c r="D4">
        <f>COUNTIF('S1'!$D$3:$K$3,'S1'!J3)</f>
        <v>2</v>
      </c>
      <c r="E4">
        <f>C4+D4</f>
        <v>8</v>
      </c>
      <c r="F4">
        <v>2</v>
      </c>
      <c r="G4" s="34">
        <f>COUNTIF('S1'!$D$13:$I$13,'S1'!D13)/COUNTIF('S1'!$D$13:$I$13,'S1'!H13)</f>
        <v>1</v>
      </c>
    </row>
    <row r="5" spans="1:11" x14ac:dyDescent="0.25">
      <c r="A5" t="s">
        <v>30</v>
      </c>
      <c r="B5" s="9" t="s">
        <v>40</v>
      </c>
      <c r="C5">
        <f>COUNTIF('S2'!$C$1:$I$1,'S2'!C1)</f>
        <v>5</v>
      </c>
      <c r="D5">
        <f>COUNTIF('S2'!$C$1:$I$1,'S2'!D1)</f>
        <v>2</v>
      </c>
      <c r="E5">
        <f t="shared" ref="E5:E7" si="0">C5+D5</f>
        <v>7</v>
      </c>
      <c r="F5">
        <v>3</v>
      </c>
      <c r="G5">
        <f>COUNTIF('S2'!$C$11:$I$11,'S2'!C11)/COUNTIF('S2'!$C$11:$I$11,'S2'!H11)</f>
        <v>0.66666666666666663</v>
      </c>
    </row>
    <row r="6" spans="1:11" x14ac:dyDescent="0.25">
      <c r="A6" t="s">
        <v>31</v>
      </c>
      <c r="B6" s="9" t="s">
        <v>56</v>
      </c>
      <c r="C6">
        <f>COUNTIF('S3'!$C$2:$I$2,'S3'!C2)</f>
        <v>5</v>
      </c>
      <c r="D6">
        <f>COUNTIF('S3'!$C$2:$I$2,'S3'!D2)</f>
        <v>2</v>
      </c>
      <c r="E6">
        <f t="shared" si="0"/>
        <v>7</v>
      </c>
      <c r="F6">
        <v>99</v>
      </c>
      <c r="G6">
        <f>COUNTIF('S3'!$C$22:$I$22,'S3'!C22)/COUNTIF('S3'!$C$22:$I$22,'S3'!F22)</f>
        <v>0.66666666666666663</v>
      </c>
    </row>
    <row r="7" spans="1:11" x14ac:dyDescent="0.25">
      <c r="A7" t="s">
        <v>32</v>
      </c>
      <c r="B7" s="9" t="s">
        <v>40</v>
      </c>
      <c r="C7">
        <f>COUNTIF('S4'!$C$2:$I$2,'S4'!D2)</f>
        <v>3</v>
      </c>
      <c r="D7">
        <f>COUNTIF('S4'!$C$2:$I$2,'S4'!E2)</f>
        <v>2</v>
      </c>
      <c r="E7">
        <f t="shared" si="0"/>
        <v>5</v>
      </c>
      <c r="F7">
        <v>4</v>
      </c>
      <c r="G7">
        <f>COUNTIF('S4'!$D$12:$G$12,'S4'!D12)/COUNTIF('S4'!$D$12:$G$12,'S4'!G12)</f>
        <v>2</v>
      </c>
    </row>
    <row r="12" spans="1:11" x14ac:dyDescent="0.25">
      <c r="A12" t="str">
        <f>A3</f>
        <v>OAM</v>
      </c>
      <c r="B12" t="str">
        <f t="shared" ref="B12:G12" si="1">B3</f>
        <v>URL SOURCE</v>
      </c>
      <c r="C12" t="str">
        <f t="shared" si="1"/>
        <v xml:space="preserve">Number of the raw attributes </v>
      </c>
      <c r="D12" t="str">
        <f t="shared" si="1"/>
        <v>Secondary attributes</v>
      </c>
      <c r="E12" t="str">
        <f t="shared" si="1"/>
        <v>Total number of attributes</v>
      </c>
      <c r="F12" t="str">
        <f t="shared" si="1"/>
        <v>Sensibility</v>
      </c>
      <c r="G12" t="str">
        <f t="shared" si="1"/>
        <v>Objectivity</v>
      </c>
      <c r="H12" t="s">
        <v>91</v>
      </c>
      <c r="I12" t="s">
        <v>92</v>
      </c>
      <c r="J12" t="s">
        <v>144</v>
      </c>
      <c r="K12" t="s">
        <v>145</v>
      </c>
    </row>
    <row r="13" spans="1:11" x14ac:dyDescent="0.25">
      <c r="A13" t="str">
        <f t="shared" ref="A13" si="2">A4</f>
        <v>System 1</v>
      </c>
      <c r="C13">
        <f>RANK(C4,C$4:C$7,C$1)</f>
        <v>1</v>
      </c>
      <c r="D13">
        <f t="shared" ref="D13:G13" si="3">RANK(D4,D$4:D$7,D$1)</f>
        <v>1</v>
      </c>
      <c r="E13">
        <f t="shared" si="3"/>
        <v>1</v>
      </c>
      <c r="F13">
        <f t="shared" si="3"/>
        <v>4</v>
      </c>
      <c r="G13">
        <f t="shared" si="3"/>
        <v>2</v>
      </c>
      <c r="H13">
        <v>100</v>
      </c>
      <c r="I13">
        <v>1</v>
      </c>
      <c r="J13">
        <f>'Robot Opinion'!G26</f>
        <v>100</v>
      </c>
      <c r="K13">
        <v>2</v>
      </c>
    </row>
    <row r="14" spans="1:11" x14ac:dyDescent="0.25">
      <c r="A14" t="str">
        <f t="shared" ref="A14" si="4">A5</f>
        <v>System 2</v>
      </c>
      <c r="C14">
        <f t="shared" ref="C14:G16" si="5">RANK(C5,C$4:C$7,C$1)</f>
        <v>2</v>
      </c>
      <c r="D14">
        <f t="shared" si="5"/>
        <v>1</v>
      </c>
      <c r="E14">
        <f t="shared" si="5"/>
        <v>2</v>
      </c>
      <c r="F14">
        <f t="shared" si="5"/>
        <v>3</v>
      </c>
      <c r="G14">
        <f t="shared" si="5"/>
        <v>3</v>
      </c>
      <c r="H14">
        <v>100</v>
      </c>
      <c r="I14">
        <v>3</v>
      </c>
      <c r="J14">
        <f>'Robot Opinion'!G27</f>
        <v>99</v>
      </c>
      <c r="K14">
        <v>4</v>
      </c>
    </row>
    <row r="15" spans="1:11" x14ac:dyDescent="0.25">
      <c r="A15" t="str">
        <f t="shared" ref="A15" si="6">A6</f>
        <v>System 3</v>
      </c>
      <c r="C15">
        <f t="shared" si="5"/>
        <v>2</v>
      </c>
      <c r="D15">
        <f t="shared" si="5"/>
        <v>1</v>
      </c>
      <c r="E15">
        <f t="shared" si="5"/>
        <v>2</v>
      </c>
      <c r="F15">
        <f t="shared" si="5"/>
        <v>1</v>
      </c>
      <c r="G15">
        <f t="shared" si="5"/>
        <v>3</v>
      </c>
      <c r="H15">
        <v>100</v>
      </c>
      <c r="I15">
        <v>2</v>
      </c>
      <c r="J15">
        <f>'Robot Opinion'!G28</f>
        <v>101</v>
      </c>
      <c r="K15">
        <v>1</v>
      </c>
    </row>
    <row r="16" spans="1:11" x14ac:dyDescent="0.25">
      <c r="A16" t="str">
        <f t="shared" ref="A16" si="7">A7</f>
        <v>System 4</v>
      </c>
      <c r="C16">
        <f t="shared" si="5"/>
        <v>4</v>
      </c>
      <c r="D16">
        <f t="shared" si="5"/>
        <v>1</v>
      </c>
      <c r="E16">
        <f t="shared" si="5"/>
        <v>4</v>
      </c>
      <c r="F16">
        <f t="shared" si="5"/>
        <v>2</v>
      </c>
      <c r="G16">
        <f t="shared" si="5"/>
        <v>1</v>
      </c>
      <c r="H16">
        <v>100</v>
      </c>
      <c r="I16">
        <v>4</v>
      </c>
      <c r="J16">
        <f>'Robot Opinion'!G29</f>
        <v>100</v>
      </c>
      <c r="K16">
        <v>2</v>
      </c>
    </row>
  </sheetData>
  <conditionalFormatting sqref="C13:G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4" location="'S1'!A1" display="…" xr:uid="{E6E5CE82-F277-4992-9755-1FF1F4233893}"/>
    <hyperlink ref="B5" location="'S2'!A1" display="…" xr:uid="{54238EA2-198F-453E-960E-6BBA9C5436E4}"/>
    <hyperlink ref="B6" location="'S3'!A1" display="..." xr:uid="{971F276F-3423-4791-8F0A-91D6DD8335F5}"/>
    <hyperlink ref="B7" location="'S4'!A1" display="…" xr:uid="{8E4C5677-9742-4FD9-8250-5CEA228007C1}"/>
  </hyperlink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7F-BCEF-4AB1-B5ED-5832BA60DB49}">
  <dimension ref="A1:K18"/>
  <sheetViews>
    <sheetView workbookViewId="0">
      <selection activeCell="I18" sqref="I18"/>
    </sheetView>
  </sheetViews>
  <sheetFormatPr defaultColWidth="9.28515625" defaultRowHeight="15" x14ac:dyDescent="0.25"/>
  <cols>
    <col min="2" max="2" width="21.140625" bestFit="1" customWidth="1"/>
    <col min="3" max="3" width="16" bestFit="1" customWidth="1"/>
    <col min="4" max="4" width="11.42578125" bestFit="1" customWidth="1"/>
    <col min="5" max="6" width="10.28515625" bestFit="1" customWidth="1"/>
    <col min="7" max="7" width="11.5703125" bestFit="1" customWidth="1"/>
    <col min="8" max="8" width="10.28515625" bestFit="1" customWidth="1"/>
    <col min="9" max="9" width="11" bestFit="1" customWidth="1"/>
    <col min="10" max="10" width="15" bestFit="1" customWidth="1"/>
    <col min="11" max="11" width="11" bestFit="1" customWidth="1"/>
  </cols>
  <sheetData>
    <row r="1" spans="1:11" ht="15.75" thickBot="1" x14ac:dyDescent="0.3">
      <c r="A1" t="s">
        <v>146</v>
      </c>
    </row>
    <row r="2" spans="1:11" ht="15.75" thickBot="1" x14ac:dyDescent="0.3">
      <c r="B2" s="8" t="s">
        <v>27</v>
      </c>
      <c r="C2" s="8"/>
    </row>
    <row r="3" spans="1:11" x14ac:dyDescent="0.25">
      <c r="C3" t="s">
        <v>37</v>
      </c>
      <c r="D3" t="s">
        <v>38</v>
      </c>
      <c r="E3" t="s">
        <v>38</v>
      </c>
      <c r="F3" t="s">
        <v>38</v>
      </c>
      <c r="G3" t="s">
        <v>38</v>
      </c>
      <c r="H3" t="s">
        <v>38</v>
      </c>
      <c r="I3" t="s">
        <v>38</v>
      </c>
      <c r="J3" t="s">
        <v>39</v>
      </c>
      <c r="K3" t="s">
        <v>39</v>
      </c>
    </row>
    <row r="4" spans="1:11" x14ac:dyDescent="0.25"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21</v>
      </c>
      <c r="K4" t="s">
        <v>23</v>
      </c>
    </row>
    <row r="5" spans="1:11" x14ac:dyDescent="0.25">
      <c r="F5" s="1" t="s">
        <v>8</v>
      </c>
    </row>
    <row r="6" spans="1:11" x14ac:dyDescent="0.25">
      <c r="D6" t="s">
        <v>6</v>
      </c>
      <c r="E6" t="s">
        <v>7</v>
      </c>
      <c r="F6" t="s">
        <v>9</v>
      </c>
      <c r="G6" t="s">
        <v>10</v>
      </c>
      <c r="H6" t="s">
        <v>11</v>
      </c>
      <c r="I6" t="s">
        <v>12</v>
      </c>
      <c r="J6" t="s">
        <v>20</v>
      </c>
      <c r="K6" s="6" t="s">
        <v>22</v>
      </c>
    </row>
    <row r="7" spans="1:11" x14ac:dyDescent="0.25">
      <c r="C7" t="s">
        <v>0</v>
      </c>
      <c r="D7" s="2">
        <f>6/10</f>
        <v>0.6</v>
      </c>
      <c r="E7">
        <f>4/10</f>
        <v>0.4</v>
      </c>
      <c r="F7" s="4">
        <f>5/10</f>
        <v>0.5</v>
      </c>
      <c r="G7" s="5">
        <f>0.6</f>
        <v>0.6</v>
      </c>
      <c r="H7" s="3">
        <f>0.45</f>
        <v>0.45</v>
      </c>
      <c r="I7" s="3">
        <f>0.3</f>
        <v>0.3</v>
      </c>
      <c r="J7" s="3">
        <f>(Táblázat1[[#This Row],[Oszlop4]]+Táblázat1[[#This Row],[Oszlop5]]+Táblázat1[[#This Row],[Oszlop6]]+Táblázat1[[#This Row],[Oszlop7]])/4</f>
        <v>0.46250000000000002</v>
      </c>
      <c r="K7" s="3">
        <f>(0.6*0.2)+(0.4*0.2)+(0.6*0.4625)</f>
        <v>0.47750000000000004</v>
      </c>
    </row>
    <row r="8" spans="1:11" x14ac:dyDescent="0.25">
      <c r="C8" t="s">
        <v>1</v>
      </c>
      <c r="D8" s="2">
        <f>7.4/10</f>
        <v>0.74</v>
      </c>
      <c r="E8">
        <f>5/10</f>
        <v>0.5</v>
      </c>
      <c r="F8" s="5">
        <f>0.65</f>
        <v>0.65</v>
      </c>
      <c r="G8" s="4">
        <f>0.5</f>
        <v>0.5</v>
      </c>
      <c r="H8" s="5">
        <f>0.6</f>
        <v>0.6</v>
      </c>
      <c r="I8" s="5">
        <f>0.55</f>
        <v>0.55000000000000004</v>
      </c>
      <c r="J8" s="5">
        <f>(Táblázat1[[#This Row],[Oszlop4]]+Táblázat1[[#This Row],[Oszlop5]]+Táblázat1[[#This Row],[Oszlop6]]+Táblázat1[[#This Row],[Oszlop7]])/4</f>
        <v>0.57499999999999996</v>
      </c>
      <c r="K8" s="5">
        <f>(0.74*0.2)+(0.2*0.5)+(0.6*0.575)</f>
        <v>0.59299999999999997</v>
      </c>
    </row>
    <row r="9" spans="1:11" x14ac:dyDescent="0.25">
      <c r="C9" t="s">
        <v>2</v>
      </c>
      <c r="D9" s="2">
        <f>6.5/10</f>
        <v>0.65</v>
      </c>
      <c r="E9">
        <f>8/10</f>
        <v>0.8</v>
      </c>
      <c r="F9" s="5">
        <f>0.75</f>
        <v>0.75</v>
      </c>
      <c r="G9" s="5">
        <f>0.8</f>
        <v>0.8</v>
      </c>
      <c r="H9" s="5">
        <f>0.65</f>
        <v>0.65</v>
      </c>
      <c r="I9" s="5">
        <f>0.7</f>
        <v>0.7</v>
      </c>
      <c r="J9" s="5">
        <f>(Táblázat1[[#This Row],[Oszlop4]]+Táblázat1[[#This Row],[Oszlop5]]+Táblázat1[[#This Row],[Oszlop6]]+Táblázat1[[#This Row],[Oszlop7]])/4</f>
        <v>0.72500000000000009</v>
      </c>
      <c r="K9" s="5">
        <f>(0.2*0.65)+(0.2*0.8)+(0.6*0.725)</f>
        <v>0.72500000000000009</v>
      </c>
    </row>
    <row r="10" spans="1:11" x14ac:dyDescent="0.25">
      <c r="C10" t="s">
        <v>3</v>
      </c>
      <c r="D10" s="2">
        <f>8.5/10</f>
        <v>0.85</v>
      </c>
      <c r="E10">
        <f>6.5/10</f>
        <v>0.65</v>
      </c>
      <c r="F10" s="5">
        <f>0.7</f>
        <v>0.7</v>
      </c>
      <c r="G10" s="5">
        <f>0.6</f>
        <v>0.6</v>
      </c>
      <c r="H10" s="5">
        <f>0.55</f>
        <v>0.55000000000000004</v>
      </c>
      <c r="I10" s="5">
        <f>0.8</f>
        <v>0.8</v>
      </c>
      <c r="J10" s="5">
        <f>(Táblázat1[[#This Row],[Oszlop4]]+Táblázat1[[#This Row],[Oszlop5]]+Táblázat1[[#This Row],[Oszlop6]]+Táblázat1[[#This Row],[Oszlop7]])/4</f>
        <v>0.66249999999999998</v>
      </c>
      <c r="K10" s="5">
        <f>(0.2*0.85)+(0.2*0.65)+(0.6*0.6625)</f>
        <v>0.69750000000000001</v>
      </c>
    </row>
    <row r="11" spans="1:11" x14ac:dyDescent="0.25">
      <c r="C11" t="s">
        <v>4</v>
      </c>
      <c r="D11" s="2">
        <f>10/10</f>
        <v>1</v>
      </c>
      <c r="E11">
        <f>9.5/10</f>
        <v>0.95</v>
      </c>
      <c r="F11" s="5">
        <f>0.95</f>
        <v>0.95</v>
      </c>
      <c r="G11" s="5">
        <f>0.9</f>
        <v>0.9</v>
      </c>
      <c r="H11" s="5">
        <f>0.8</f>
        <v>0.8</v>
      </c>
      <c r="I11" s="5">
        <f>1</f>
        <v>1</v>
      </c>
      <c r="J11" s="5">
        <f>(Táblázat1[[#This Row],[Oszlop4]]+Táblázat1[[#This Row],[Oszlop5]]+Táblázat1[[#This Row],[Oszlop6]]+Táblázat1[[#This Row],[Oszlop7]])/4</f>
        <v>0.91250000000000009</v>
      </c>
      <c r="K11" s="5">
        <f>(1*0.2)+(0.95*0.2)+(0.6*0.9125)</f>
        <v>0.9375</v>
      </c>
    </row>
    <row r="12" spans="1:11" x14ac:dyDescent="0.25">
      <c r="C12" t="s">
        <v>5</v>
      </c>
      <c r="D12" s="2">
        <f>9/10</f>
        <v>0.9</v>
      </c>
      <c r="E12">
        <f>3.5/10</f>
        <v>0.35</v>
      </c>
      <c r="F12" s="3">
        <f>0.4</f>
        <v>0.4</v>
      </c>
      <c r="G12" s="3">
        <f>0.45</f>
        <v>0.45</v>
      </c>
      <c r="H12" s="4">
        <f>0.5</f>
        <v>0.5</v>
      </c>
      <c r="I12" s="5">
        <f>0.6</f>
        <v>0.6</v>
      </c>
      <c r="J12" s="3">
        <f>(Táblázat1[[#This Row],[Oszlop4]]+Táblázat1[[#This Row],[Oszlop5]]+Táblázat1[[#This Row],[Oszlop6]]+Táblázat1[[#This Row],[Oszlop7]])/4</f>
        <v>0.48750000000000004</v>
      </c>
      <c r="K12" s="5">
        <f>(0.2*0.9)+(0.2*0.35)+(0.6*0.4875)</f>
        <v>0.54249999999999998</v>
      </c>
    </row>
    <row r="13" spans="1:11" x14ac:dyDescent="0.25">
      <c r="C13" t="s">
        <v>87</v>
      </c>
      <c r="D13" t="s">
        <v>88</v>
      </c>
      <c r="E13" t="s">
        <v>88</v>
      </c>
      <c r="F13" t="s">
        <v>89</v>
      </c>
      <c r="G13" t="s">
        <v>89</v>
      </c>
      <c r="H13" t="s">
        <v>89</v>
      </c>
      <c r="I13" t="s">
        <v>88</v>
      </c>
    </row>
    <row r="14" spans="1:11" x14ac:dyDescent="0.25">
      <c r="C14" t="s">
        <v>222</v>
      </c>
      <c r="D14" t="s">
        <v>205</v>
      </c>
      <c r="E14" t="s">
        <v>205</v>
      </c>
      <c r="F14" t="s">
        <v>223</v>
      </c>
      <c r="H14" t="str">
        <f>Táblázat1[[#This Row],[Oszlop2]]</f>
        <v>percentage</v>
      </c>
      <c r="I14" t="str">
        <f>Táblázat1[[#This Row],[Oszlop2]]</f>
        <v>percentage</v>
      </c>
      <c r="J14" t="str">
        <f>Táblázat1[[#This Row],[Oszlop2]]</f>
        <v>percentage</v>
      </c>
      <c r="K14" t="str">
        <f>Táblázat1[[#This Row],[Oszlop2]]</f>
        <v>percentage</v>
      </c>
    </row>
    <row r="15" spans="1:11" ht="15.75" thickBot="1" x14ac:dyDescent="0.3"/>
    <row r="16" spans="1:11" ht="15.75" thickBot="1" x14ac:dyDescent="0.3">
      <c r="C16" s="7" t="s">
        <v>24</v>
      </c>
      <c r="D16" s="7"/>
    </row>
    <row r="17" spans="3:3" ht="15.75" thickBot="1" x14ac:dyDescent="0.3">
      <c r="C17" s="7" t="s">
        <v>25</v>
      </c>
    </row>
    <row r="18" spans="3:3" ht="15.75" thickBot="1" x14ac:dyDescent="0.3">
      <c r="C18" s="7" t="s">
        <v>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72F9-3ABD-4224-8602-F2285E71DA8F}">
  <dimension ref="A1:J11"/>
  <sheetViews>
    <sheetView workbookViewId="0">
      <selection activeCell="B12" sqref="B12"/>
    </sheetView>
  </sheetViews>
  <sheetFormatPr defaultColWidth="34.7109375" defaultRowHeight="15" x14ac:dyDescent="0.25"/>
  <cols>
    <col min="1" max="1" width="3.5703125" bestFit="1" customWidth="1"/>
    <col min="2" max="2" width="15.28515625" bestFit="1" customWidth="1"/>
    <col min="3" max="3" width="26.28515625" bestFit="1" customWidth="1"/>
    <col min="4" max="4" width="15.5703125" bestFit="1" customWidth="1"/>
    <col min="5" max="5" width="16.5703125" bestFit="1" customWidth="1"/>
    <col min="6" max="6" width="12.85546875" bestFit="1" customWidth="1"/>
    <col min="7" max="7" width="15.7109375" bestFit="1" customWidth="1"/>
    <col min="8" max="8" width="14" bestFit="1" customWidth="1"/>
    <col min="9" max="9" width="15.42578125" bestFit="1" customWidth="1"/>
  </cols>
  <sheetData>
    <row r="1" spans="1:10" ht="15.75" thickBot="1" x14ac:dyDescent="0.3">
      <c r="C1" t="str">
        <f>'S1'!$D$3</f>
        <v>Raw</v>
      </c>
      <c r="D1" t="str">
        <f>'S1'!J3</f>
        <v>Secondary</v>
      </c>
      <c r="E1" t="str">
        <f>'S1'!J3</f>
        <v>Secondary</v>
      </c>
      <c r="F1" t="str">
        <f>'S1'!$D$3</f>
        <v>Raw</v>
      </c>
      <c r="G1" t="str">
        <f>'S1'!$D$3</f>
        <v>Raw</v>
      </c>
      <c r="H1" t="str">
        <f>'S1'!$D$3</f>
        <v>Raw</v>
      </c>
      <c r="I1" t="str">
        <f>'S1'!$D$3</f>
        <v>Raw</v>
      </c>
      <c r="J1" t="s">
        <v>146</v>
      </c>
    </row>
    <row r="2" spans="1:10" ht="20.25" thickBot="1" x14ac:dyDescent="0.3">
      <c r="A2" s="10"/>
      <c r="B2" s="11" t="s">
        <v>41</v>
      </c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</row>
    <row r="3" spans="1:10" ht="20.25" thickBot="1" x14ac:dyDescent="0.3">
      <c r="A3" s="12">
        <v>1</v>
      </c>
      <c r="B3" s="13"/>
      <c r="C3" s="14" t="s">
        <v>49</v>
      </c>
      <c r="D3" s="15" t="s">
        <v>50</v>
      </c>
      <c r="E3" s="16" t="s">
        <v>51</v>
      </c>
      <c r="F3" s="17" t="s">
        <v>51</v>
      </c>
      <c r="G3" s="18" t="s">
        <v>51</v>
      </c>
      <c r="H3" s="19" t="s">
        <v>51</v>
      </c>
      <c r="I3" s="20" t="s">
        <v>51</v>
      </c>
    </row>
    <row r="4" spans="1:10" ht="20.25" thickBot="1" x14ac:dyDescent="0.3">
      <c r="A4" s="12">
        <v>2</v>
      </c>
      <c r="B4" s="13"/>
      <c r="C4" s="14" t="s">
        <v>52</v>
      </c>
      <c r="D4" s="15" t="s">
        <v>53</v>
      </c>
      <c r="E4" s="16" t="s">
        <v>22</v>
      </c>
      <c r="F4" s="17" t="s">
        <v>9</v>
      </c>
      <c r="G4" s="18" t="s">
        <v>10</v>
      </c>
      <c r="H4" s="19" t="s">
        <v>11</v>
      </c>
      <c r="I4" s="20" t="s">
        <v>12</v>
      </c>
    </row>
    <row r="5" spans="1:10" ht="20.25" thickBot="1" x14ac:dyDescent="0.3">
      <c r="A5" s="12">
        <v>3</v>
      </c>
      <c r="B5" s="21" t="s">
        <v>0</v>
      </c>
      <c r="C5" s="14">
        <v>0.6</v>
      </c>
      <c r="D5" s="15">
        <v>0.625</v>
      </c>
      <c r="E5" s="33">
        <v>0.61499999999999999</v>
      </c>
      <c r="F5" s="17">
        <v>0.8</v>
      </c>
      <c r="G5" s="18">
        <v>0.7</v>
      </c>
      <c r="H5" s="19">
        <v>0.4</v>
      </c>
      <c r="I5" s="20">
        <v>0.6</v>
      </c>
    </row>
    <row r="6" spans="1:10" ht="20.25" thickBot="1" x14ac:dyDescent="0.3">
      <c r="A6" s="12">
        <v>4</v>
      </c>
      <c r="B6" s="21" t="s">
        <v>1</v>
      </c>
      <c r="C6" s="14">
        <v>0.8</v>
      </c>
      <c r="D6" s="15">
        <v>0.7</v>
      </c>
      <c r="E6" s="32">
        <v>0.74</v>
      </c>
      <c r="F6" s="17">
        <v>0.6</v>
      </c>
      <c r="G6" s="18">
        <v>0.5</v>
      </c>
      <c r="H6" s="19">
        <v>0.7</v>
      </c>
      <c r="I6" s="20">
        <v>1</v>
      </c>
    </row>
    <row r="7" spans="1:10" ht="20.25" thickBot="1" x14ac:dyDescent="0.3">
      <c r="A7" s="12">
        <v>5</v>
      </c>
      <c r="B7" s="21" t="s">
        <v>2</v>
      </c>
      <c r="C7" s="14">
        <v>0.8</v>
      </c>
      <c r="D7" s="15">
        <v>0.82499999999999996</v>
      </c>
      <c r="E7" s="32">
        <v>0.81499999999999995</v>
      </c>
      <c r="F7" s="17">
        <v>0.8</v>
      </c>
      <c r="G7" s="18">
        <v>0.8</v>
      </c>
      <c r="H7" s="19">
        <v>0.9</v>
      </c>
      <c r="I7" s="20">
        <v>0.8</v>
      </c>
    </row>
    <row r="8" spans="1:10" ht="20.25" thickBot="1" x14ac:dyDescent="0.3">
      <c r="A8" s="12">
        <v>6</v>
      </c>
      <c r="B8" s="21" t="s">
        <v>3</v>
      </c>
      <c r="C8" s="14">
        <v>0</v>
      </c>
      <c r="D8" s="15">
        <v>0</v>
      </c>
      <c r="E8" s="16">
        <v>0</v>
      </c>
      <c r="F8" s="17">
        <v>0</v>
      </c>
      <c r="G8" s="18">
        <v>0</v>
      </c>
      <c r="H8" s="19">
        <v>0</v>
      </c>
      <c r="I8" s="20">
        <v>0</v>
      </c>
    </row>
    <row r="9" spans="1:10" ht="20.25" thickBot="1" x14ac:dyDescent="0.3">
      <c r="A9" s="12">
        <v>7</v>
      </c>
      <c r="B9" s="21" t="s">
        <v>4</v>
      </c>
      <c r="C9" s="14">
        <v>1</v>
      </c>
      <c r="D9" s="15">
        <v>0.875</v>
      </c>
      <c r="E9" s="32">
        <v>0.92500000000000004</v>
      </c>
      <c r="F9" s="17">
        <v>0.8</v>
      </c>
      <c r="G9" s="18">
        <v>0.9</v>
      </c>
      <c r="H9" s="19">
        <v>0.8</v>
      </c>
      <c r="I9" s="20">
        <v>1</v>
      </c>
    </row>
    <row r="10" spans="1:10" ht="20.25" thickBot="1" x14ac:dyDescent="0.3">
      <c r="A10" s="12">
        <v>8</v>
      </c>
      <c r="B10" s="22" t="s">
        <v>54</v>
      </c>
      <c r="C10" s="13"/>
      <c r="D10" s="22">
        <v>1</v>
      </c>
      <c r="E10" s="22">
        <v>1</v>
      </c>
      <c r="F10" s="22">
        <v>0.9</v>
      </c>
      <c r="G10" s="22">
        <v>0.9</v>
      </c>
      <c r="H10" s="22">
        <v>0.9</v>
      </c>
      <c r="I10" s="22">
        <v>1</v>
      </c>
    </row>
    <row r="11" spans="1:10" x14ac:dyDescent="0.25">
      <c r="C11" t="s">
        <v>88</v>
      </c>
      <c r="F11" t="s">
        <v>89</v>
      </c>
      <c r="G11" t="s">
        <v>89</v>
      </c>
      <c r="H11" t="s">
        <v>89</v>
      </c>
      <c r="I1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271AB-1DC0-43A4-B933-EDC4947833C5}">
  <dimension ref="A1:I22"/>
  <sheetViews>
    <sheetView workbookViewId="0"/>
  </sheetViews>
  <sheetFormatPr defaultRowHeight="15" x14ac:dyDescent="0.25"/>
  <cols>
    <col min="2" max="2" width="9.7109375" customWidth="1"/>
    <col min="3" max="3" width="14.7109375" customWidth="1"/>
    <col min="4" max="4" width="10.5703125" customWidth="1"/>
    <col min="5" max="5" width="10.85546875" customWidth="1"/>
    <col min="6" max="6" width="6.7109375" customWidth="1"/>
    <col min="7" max="7" width="8.85546875" customWidth="1"/>
    <col min="8" max="8" width="7.7109375" customWidth="1"/>
    <col min="9" max="9" width="7.5703125" customWidth="1"/>
  </cols>
  <sheetData>
    <row r="1" spans="1:9" x14ac:dyDescent="0.25">
      <c r="A1" t="s">
        <v>146</v>
      </c>
    </row>
    <row r="2" spans="1:9" x14ac:dyDescent="0.25">
      <c r="C2" t="s">
        <v>55</v>
      </c>
      <c r="D2" t="s">
        <v>39</v>
      </c>
      <c r="E2" t="str">
        <f>D2</f>
        <v>Secondary</v>
      </c>
      <c r="F2" t="str">
        <f>C2</f>
        <v>RAW</v>
      </c>
      <c r="G2" t="str">
        <f>F2</f>
        <v>RAW</v>
      </c>
      <c r="H2" t="str">
        <f>G2</f>
        <v>RAW</v>
      </c>
      <c r="I2" t="str">
        <f>H2</f>
        <v>RAW</v>
      </c>
    </row>
    <row r="22" spans="3:9" x14ac:dyDescent="0.25">
      <c r="C22" t="s">
        <v>88</v>
      </c>
      <c r="F22" t="s">
        <v>89</v>
      </c>
      <c r="G22" t="s">
        <v>89</v>
      </c>
      <c r="H22" t="s">
        <v>89</v>
      </c>
      <c r="I22" t="s">
        <v>88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BD1C-B418-421B-AF28-BCA69ED66811}">
  <dimension ref="A5:L47"/>
  <sheetViews>
    <sheetView topLeftCell="A28" workbookViewId="0">
      <selection activeCell="G32" sqref="G32"/>
    </sheetView>
  </sheetViews>
  <sheetFormatPr defaultRowHeight="15" x14ac:dyDescent="0.25"/>
  <sheetData>
    <row r="5" spans="1:12" ht="30" x14ac:dyDescent="0.25">
      <c r="A5" s="35" t="s">
        <v>93</v>
      </c>
      <c r="B5" s="36">
        <v>3548476</v>
      </c>
      <c r="C5" s="35" t="s">
        <v>94</v>
      </c>
      <c r="D5" s="36">
        <v>5</v>
      </c>
      <c r="E5" s="35" t="s">
        <v>95</v>
      </c>
      <c r="F5" s="36">
        <v>5</v>
      </c>
      <c r="G5" s="35" t="s">
        <v>96</v>
      </c>
      <c r="H5" s="36">
        <v>5</v>
      </c>
      <c r="I5" s="35" t="s">
        <v>97</v>
      </c>
      <c r="J5" s="36">
        <v>0</v>
      </c>
      <c r="K5" s="35" t="s">
        <v>98</v>
      </c>
      <c r="L5" s="36" t="s">
        <v>226</v>
      </c>
    </row>
    <row r="7" spans="1:12" x14ac:dyDescent="0.25">
      <c r="A7" s="37" t="s">
        <v>100</v>
      </c>
      <c r="B7" s="38" t="s">
        <v>101</v>
      </c>
      <c r="C7" s="38" t="s">
        <v>102</v>
      </c>
      <c r="D7" s="38" t="s">
        <v>103</v>
      </c>
      <c r="E7" s="38" t="s">
        <v>104</v>
      </c>
      <c r="F7" s="38" t="s">
        <v>105</v>
      </c>
      <c r="G7" s="38" t="s">
        <v>106</v>
      </c>
    </row>
    <row r="8" spans="1:12" x14ac:dyDescent="0.25">
      <c r="A8" s="38" t="s">
        <v>107</v>
      </c>
      <c r="B8" s="37">
        <v>1</v>
      </c>
      <c r="C8" s="37">
        <v>1</v>
      </c>
      <c r="D8" s="37">
        <v>1</v>
      </c>
      <c r="E8" s="37">
        <v>5</v>
      </c>
      <c r="F8" s="37">
        <v>3</v>
      </c>
      <c r="G8" s="37">
        <v>100</v>
      </c>
    </row>
    <row r="9" spans="1:12" x14ac:dyDescent="0.25">
      <c r="A9" s="38" t="s">
        <v>108</v>
      </c>
      <c r="B9" s="37">
        <v>3</v>
      </c>
      <c r="C9" s="37">
        <v>1</v>
      </c>
      <c r="D9" s="37">
        <v>2</v>
      </c>
      <c r="E9" s="37">
        <v>4</v>
      </c>
      <c r="F9" s="37">
        <v>4</v>
      </c>
      <c r="G9" s="37">
        <v>100</v>
      </c>
    </row>
    <row r="10" spans="1:12" x14ac:dyDescent="0.25">
      <c r="A10" s="38" t="s">
        <v>109</v>
      </c>
      <c r="B10" s="37">
        <v>3</v>
      </c>
      <c r="C10" s="37">
        <v>1</v>
      </c>
      <c r="D10" s="37">
        <v>2</v>
      </c>
      <c r="E10" s="37">
        <v>1</v>
      </c>
      <c r="F10" s="37">
        <v>4</v>
      </c>
      <c r="G10" s="37">
        <v>100</v>
      </c>
    </row>
    <row r="11" spans="1:12" x14ac:dyDescent="0.25">
      <c r="A11" s="38" t="s">
        <v>110</v>
      </c>
      <c r="B11" s="37">
        <v>5</v>
      </c>
      <c r="C11" s="37">
        <v>1</v>
      </c>
      <c r="D11" s="37">
        <v>5</v>
      </c>
      <c r="E11" s="37">
        <v>3</v>
      </c>
      <c r="F11" s="37">
        <v>2</v>
      </c>
      <c r="G11" s="37">
        <v>100</v>
      </c>
    </row>
    <row r="12" spans="1:12" x14ac:dyDescent="0.25">
      <c r="A12" s="38" t="s">
        <v>227</v>
      </c>
      <c r="B12" s="37">
        <v>1</v>
      </c>
      <c r="C12" s="37">
        <v>5</v>
      </c>
      <c r="D12" s="37">
        <v>2</v>
      </c>
      <c r="E12" s="37">
        <v>1</v>
      </c>
      <c r="F12" s="37">
        <v>1</v>
      </c>
      <c r="G12" s="37">
        <v>100</v>
      </c>
    </row>
    <row r="14" spans="1:12" ht="30" x14ac:dyDescent="0.25">
      <c r="A14" s="37" t="s">
        <v>111</v>
      </c>
      <c r="B14" s="38" t="s">
        <v>101</v>
      </c>
      <c r="C14" s="38" t="s">
        <v>102</v>
      </c>
      <c r="D14" s="38" t="s">
        <v>103</v>
      </c>
      <c r="E14" s="38" t="s">
        <v>104</v>
      </c>
      <c r="F14" s="38" t="s">
        <v>105</v>
      </c>
    </row>
    <row r="15" spans="1:12" ht="30" x14ac:dyDescent="0.25">
      <c r="A15" s="38" t="s">
        <v>112</v>
      </c>
      <c r="B15" s="37" t="s">
        <v>228</v>
      </c>
      <c r="C15" s="37" t="s">
        <v>229</v>
      </c>
      <c r="D15" s="37" t="s">
        <v>228</v>
      </c>
      <c r="E15" s="37" t="s">
        <v>230</v>
      </c>
      <c r="F15" s="37" t="s">
        <v>231</v>
      </c>
    </row>
    <row r="16" spans="1:12" ht="30" x14ac:dyDescent="0.25">
      <c r="A16" s="38" t="s">
        <v>117</v>
      </c>
      <c r="B16" s="37" t="s">
        <v>114</v>
      </c>
      <c r="C16" s="37" t="s">
        <v>232</v>
      </c>
      <c r="D16" s="37" t="s">
        <v>114</v>
      </c>
      <c r="E16" s="37" t="s">
        <v>233</v>
      </c>
      <c r="F16" s="37" t="s">
        <v>234</v>
      </c>
    </row>
    <row r="17" spans="1:10" ht="30" x14ac:dyDescent="0.25">
      <c r="A17" s="38" t="s">
        <v>120</v>
      </c>
      <c r="B17" s="37" t="s">
        <v>118</v>
      </c>
      <c r="C17" s="37" t="s">
        <v>235</v>
      </c>
      <c r="D17" s="37" t="s">
        <v>118</v>
      </c>
      <c r="E17" s="37" t="s">
        <v>236</v>
      </c>
      <c r="F17" s="37" t="s">
        <v>237</v>
      </c>
    </row>
    <row r="18" spans="1:10" ht="30" x14ac:dyDescent="0.25">
      <c r="A18" s="38" t="s">
        <v>123</v>
      </c>
      <c r="B18" s="37" t="s">
        <v>121</v>
      </c>
      <c r="C18" s="37" t="s">
        <v>238</v>
      </c>
      <c r="D18" s="37" t="s">
        <v>121</v>
      </c>
      <c r="E18" s="37" t="s">
        <v>239</v>
      </c>
      <c r="F18" s="37" t="s">
        <v>240</v>
      </c>
    </row>
    <row r="19" spans="1:10" ht="30" x14ac:dyDescent="0.25">
      <c r="A19" s="38" t="s">
        <v>241</v>
      </c>
      <c r="B19" s="37" t="s">
        <v>124</v>
      </c>
      <c r="C19" s="37" t="s">
        <v>242</v>
      </c>
      <c r="D19" s="37" t="s">
        <v>124</v>
      </c>
      <c r="E19" s="37" t="s">
        <v>124</v>
      </c>
      <c r="F19" s="37" t="s">
        <v>124</v>
      </c>
    </row>
    <row r="21" spans="1:10" ht="30" x14ac:dyDescent="0.25">
      <c r="A21" s="37" t="s">
        <v>126</v>
      </c>
      <c r="B21" s="38" t="s">
        <v>101</v>
      </c>
      <c r="C21" s="38" t="s">
        <v>102</v>
      </c>
      <c r="D21" s="38" t="s">
        <v>103</v>
      </c>
      <c r="E21" s="38" t="s">
        <v>104</v>
      </c>
      <c r="F21" s="38" t="s">
        <v>105</v>
      </c>
    </row>
    <row r="22" spans="1:10" x14ac:dyDescent="0.25">
      <c r="A22" s="38" t="s">
        <v>112</v>
      </c>
      <c r="B22" s="37">
        <v>4</v>
      </c>
      <c r="C22" s="37">
        <v>50</v>
      </c>
      <c r="D22" s="37">
        <v>4</v>
      </c>
      <c r="E22" s="57">
        <v>43590</v>
      </c>
      <c r="F22" s="39">
        <v>17288</v>
      </c>
    </row>
    <row r="23" spans="1:10" x14ac:dyDescent="0.25">
      <c r="A23" s="38" t="s">
        <v>117</v>
      </c>
      <c r="B23" s="37">
        <v>3</v>
      </c>
      <c r="C23" s="37">
        <v>46</v>
      </c>
      <c r="D23" s="37">
        <v>3</v>
      </c>
      <c r="E23" s="57">
        <v>43560</v>
      </c>
      <c r="F23" s="39">
        <v>16923</v>
      </c>
    </row>
    <row r="24" spans="1:10" x14ac:dyDescent="0.25">
      <c r="A24" s="38" t="s">
        <v>120</v>
      </c>
      <c r="B24" s="37">
        <v>2</v>
      </c>
      <c r="C24" s="37">
        <v>45</v>
      </c>
      <c r="D24" s="37">
        <v>2</v>
      </c>
      <c r="E24" s="57">
        <v>43529</v>
      </c>
      <c r="F24" s="37">
        <v>42</v>
      </c>
    </row>
    <row r="25" spans="1:10" x14ac:dyDescent="0.25">
      <c r="A25" s="38" t="s">
        <v>123</v>
      </c>
      <c r="B25" s="37">
        <v>1</v>
      </c>
      <c r="C25" s="37">
        <v>44</v>
      </c>
      <c r="D25" s="37">
        <v>1</v>
      </c>
      <c r="E25" s="57">
        <v>43501</v>
      </c>
      <c r="F25" s="37">
        <v>41</v>
      </c>
    </row>
    <row r="26" spans="1:10" x14ac:dyDescent="0.25">
      <c r="A26" s="38" t="s">
        <v>241</v>
      </c>
      <c r="B26" s="37">
        <v>0</v>
      </c>
      <c r="C26" s="37">
        <v>40</v>
      </c>
      <c r="D26" s="37">
        <v>0</v>
      </c>
      <c r="E26" s="37">
        <v>0</v>
      </c>
      <c r="F26" s="37">
        <v>0</v>
      </c>
    </row>
    <row r="28" spans="1:10" ht="30" x14ac:dyDescent="0.25">
      <c r="A28" s="37" t="s">
        <v>127</v>
      </c>
      <c r="B28" s="38" t="s">
        <v>101</v>
      </c>
      <c r="C28" s="38" t="s">
        <v>102</v>
      </c>
      <c r="D28" s="38" t="s">
        <v>103</v>
      </c>
      <c r="E28" s="38" t="s">
        <v>104</v>
      </c>
      <c r="F28" s="38" t="s">
        <v>105</v>
      </c>
      <c r="G28" s="38" t="s">
        <v>128</v>
      </c>
      <c r="H28" s="38" t="s">
        <v>129</v>
      </c>
      <c r="I28" s="38" t="s">
        <v>130</v>
      </c>
      <c r="J28" s="38" t="s">
        <v>131</v>
      </c>
    </row>
    <row r="29" spans="1:10" x14ac:dyDescent="0.25">
      <c r="A29" s="38" t="s">
        <v>107</v>
      </c>
      <c r="B29" s="37">
        <v>4</v>
      </c>
      <c r="C29" s="37">
        <v>50</v>
      </c>
      <c r="D29" s="37">
        <v>4</v>
      </c>
      <c r="E29" s="37">
        <v>0</v>
      </c>
      <c r="F29" s="37">
        <v>42</v>
      </c>
      <c r="G29" s="37">
        <v>100</v>
      </c>
      <c r="H29" s="37">
        <v>100</v>
      </c>
      <c r="I29" s="37">
        <v>0</v>
      </c>
      <c r="J29" s="37">
        <v>0</v>
      </c>
    </row>
    <row r="30" spans="1:10" x14ac:dyDescent="0.25">
      <c r="A30" s="38" t="s">
        <v>108</v>
      </c>
      <c r="B30" s="37">
        <v>2</v>
      </c>
      <c r="C30" s="37">
        <v>50</v>
      </c>
      <c r="D30" s="37">
        <v>3</v>
      </c>
      <c r="E30" s="57">
        <v>43501</v>
      </c>
      <c r="F30" s="37">
        <v>41</v>
      </c>
      <c r="G30" s="37">
        <v>98.5</v>
      </c>
      <c r="H30" s="37">
        <v>100</v>
      </c>
      <c r="I30" s="57">
        <v>43470</v>
      </c>
      <c r="J30" s="57">
        <v>43470</v>
      </c>
    </row>
    <row r="31" spans="1:10" x14ac:dyDescent="0.25">
      <c r="A31" s="38" t="s">
        <v>109</v>
      </c>
      <c r="B31" s="37">
        <v>2</v>
      </c>
      <c r="C31" s="37">
        <v>50</v>
      </c>
      <c r="D31" s="37">
        <v>3</v>
      </c>
      <c r="E31" s="57">
        <v>43590</v>
      </c>
      <c r="F31" s="37">
        <v>41</v>
      </c>
      <c r="G31" s="37">
        <v>101.5</v>
      </c>
      <c r="H31" s="37">
        <v>100</v>
      </c>
      <c r="I31" s="37" t="e" vm="1">
        <f>_FV(-1,"5")</f>
        <v>#VALUE!</v>
      </c>
      <c r="J31" s="37" t="e" vm="1">
        <f>_FV(-1,"5")</f>
        <v>#VALUE!</v>
      </c>
    </row>
    <row r="32" spans="1:10" x14ac:dyDescent="0.25">
      <c r="A32" s="38" t="s">
        <v>110</v>
      </c>
      <c r="B32" s="37">
        <v>0</v>
      </c>
      <c r="C32" s="37">
        <v>50</v>
      </c>
      <c r="D32" s="37">
        <v>0</v>
      </c>
      <c r="E32" s="57">
        <v>43529</v>
      </c>
      <c r="F32" s="39">
        <v>16923</v>
      </c>
      <c r="G32" s="37">
        <v>100</v>
      </c>
      <c r="H32" s="37">
        <v>100</v>
      </c>
      <c r="I32" s="37">
        <v>0</v>
      </c>
      <c r="J32" s="37">
        <v>0</v>
      </c>
    </row>
    <row r="33" spans="1:10" x14ac:dyDescent="0.25">
      <c r="A33" s="38" t="s">
        <v>227</v>
      </c>
      <c r="B33" s="37">
        <v>4</v>
      </c>
      <c r="C33" s="37">
        <v>40</v>
      </c>
      <c r="D33" s="37">
        <v>3</v>
      </c>
      <c r="E33" s="57">
        <v>43590</v>
      </c>
      <c r="F33" s="39">
        <v>17288</v>
      </c>
      <c r="G33" s="37">
        <v>100</v>
      </c>
      <c r="H33" s="37">
        <v>100</v>
      </c>
      <c r="I33" s="37">
        <v>0</v>
      </c>
      <c r="J33" s="37">
        <v>0</v>
      </c>
    </row>
    <row r="35" spans="1:10" ht="30" x14ac:dyDescent="0.25">
      <c r="A35" s="40" t="s">
        <v>132</v>
      </c>
      <c r="B35" s="41">
        <v>111</v>
      </c>
    </row>
    <row r="36" spans="1:10" ht="30" x14ac:dyDescent="0.25">
      <c r="A36" s="40" t="s">
        <v>243</v>
      </c>
      <c r="B36" s="41">
        <v>40</v>
      </c>
    </row>
    <row r="37" spans="1:10" ht="30" x14ac:dyDescent="0.25">
      <c r="A37" s="40" t="s">
        <v>135</v>
      </c>
      <c r="B37" s="41">
        <v>500</v>
      </c>
    </row>
    <row r="38" spans="1:10" ht="30" x14ac:dyDescent="0.25">
      <c r="A38" s="40" t="s">
        <v>136</v>
      </c>
      <c r="B38" s="41">
        <v>500</v>
      </c>
    </row>
    <row r="39" spans="1:10" ht="60" x14ac:dyDescent="0.25">
      <c r="A39" s="40" t="s">
        <v>137</v>
      </c>
      <c r="B39" s="41">
        <v>0</v>
      </c>
    </row>
    <row r="40" spans="1:10" ht="45" x14ac:dyDescent="0.25">
      <c r="A40" s="40" t="s">
        <v>138</v>
      </c>
      <c r="B40" s="41"/>
    </row>
    <row r="41" spans="1:10" ht="45" x14ac:dyDescent="0.25">
      <c r="A41" s="40" t="s">
        <v>139</v>
      </c>
      <c r="B41" s="41"/>
    </row>
    <row r="42" spans="1:10" ht="45" x14ac:dyDescent="0.25">
      <c r="A42" s="40" t="s">
        <v>140</v>
      </c>
      <c r="B42" s="41">
        <v>0</v>
      </c>
    </row>
    <row r="44" spans="1:10" x14ac:dyDescent="0.25">
      <c r="A44" s="9" t="s">
        <v>141</v>
      </c>
    </row>
    <row r="46" spans="1:10" x14ac:dyDescent="0.25">
      <c r="A46" t="s">
        <v>244</v>
      </c>
    </row>
    <row r="47" spans="1:10" x14ac:dyDescent="0.25">
      <c r="A47" t="s">
        <v>245</v>
      </c>
    </row>
  </sheetData>
  <hyperlinks>
    <hyperlink ref="A44" r:id="rId1" display="https://miau.my-x.hu/myx-free/coco/test/354847620190522173910.html" xr:uid="{EC74DF05-12DC-475E-9684-6FC1ED54C734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610C-CCB1-4E7D-BE20-6E17DCEF20D6}">
  <dimension ref="A1:I22"/>
  <sheetViews>
    <sheetView workbookViewId="0">
      <selection activeCell="F4" sqref="F4"/>
    </sheetView>
  </sheetViews>
  <sheetFormatPr defaultRowHeight="15" x14ac:dyDescent="0.25"/>
  <cols>
    <col min="5" max="5" width="9.85546875" customWidth="1"/>
    <col min="6" max="6" width="9.28515625" customWidth="1"/>
    <col min="8" max="8" width="9.7109375" customWidth="1"/>
  </cols>
  <sheetData>
    <row r="1" spans="1:9" x14ac:dyDescent="0.25">
      <c r="A1" s="9" t="s">
        <v>146</v>
      </c>
    </row>
    <row r="2" spans="1:9" x14ac:dyDescent="0.25">
      <c r="D2" t="s">
        <v>55</v>
      </c>
      <c r="E2" t="s">
        <v>39</v>
      </c>
      <c r="F2" t="str">
        <f>D2</f>
        <v>RAW</v>
      </c>
      <c r="G2" t="str">
        <f>D2</f>
        <v>RAW</v>
      </c>
      <c r="H2" t="str">
        <f>E2</f>
        <v>Secondary</v>
      </c>
    </row>
    <row r="3" spans="1:9" x14ac:dyDescent="0.25">
      <c r="D3" t="s">
        <v>57</v>
      </c>
    </row>
    <row r="4" spans="1:9" x14ac:dyDescent="0.25">
      <c r="B4" t="s">
        <v>58</v>
      </c>
      <c r="C4" t="s">
        <v>59</v>
      </c>
      <c r="D4" t="s">
        <v>60</v>
      </c>
      <c r="E4" t="s">
        <v>61</v>
      </c>
      <c r="F4" t="s">
        <v>62</v>
      </c>
      <c r="G4" t="s">
        <v>63</v>
      </c>
      <c r="H4" t="s">
        <v>64</v>
      </c>
      <c r="I4" t="s">
        <v>65</v>
      </c>
    </row>
    <row r="5" spans="1:9" x14ac:dyDescent="0.25">
      <c r="B5" t="s">
        <v>66</v>
      </c>
      <c r="C5" t="s">
        <v>67</v>
      </c>
      <c r="D5">
        <v>94</v>
      </c>
      <c r="E5">
        <v>80</v>
      </c>
      <c r="F5">
        <v>95</v>
      </c>
      <c r="G5">
        <v>100</v>
      </c>
      <c r="H5">
        <f>AVERAGE(D5:G5)</f>
        <v>92.25</v>
      </c>
      <c r="I5" t="s">
        <v>68</v>
      </c>
    </row>
    <row r="6" spans="1:9" x14ac:dyDescent="0.25">
      <c r="B6" t="s">
        <v>69</v>
      </c>
      <c r="C6" t="s">
        <v>70</v>
      </c>
      <c r="D6">
        <v>86</v>
      </c>
      <c r="E6">
        <v>75</v>
      </c>
      <c r="F6">
        <v>81</v>
      </c>
      <c r="G6">
        <v>90</v>
      </c>
      <c r="H6">
        <f t="shared" ref="H6:H11" si="0">AVERAGE(D6:G6)</f>
        <v>83</v>
      </c>
      <c r="I6" t="s">
        <v>68</v>
      </c>
    </row>
    <row r="7" spans="1:9" x14ac:dyDescent="0.25">
      <c r="B7" t="s">
        <v>71</v>
      </c>
      <c r="C7" t="s">
        <v>72</v>
      </c>
      <c r="D7">
        <v>74</v>
      </c>
      <c r="E7">
        <v>70</v>
      </c>
      <c r="F7">
        <v>74</v>
      </c>
      <c r="G7">
        <v>85</v>
      </c>
      <c r="H7">
        <f t="shared" si="0"/>
        <v>75.75</v>
      </c>
      <c r="I7" t="s">
        <v>73</v>
      </c>
    </row>
    <row r="8" spans="1:9" x14ac:dyDescent="0.25">
      <c r="B8" t="s">
        <v>74</v>
      </c>
      <c r="C8" t="s">
        <v>75</v>
      </c>
      <c r="D8">
        <v>28</v>
      </c>
      <c r="E8">
        <v>60</v>
      </c>
      <c r="F8">
        <v>71</v>
      </c>
      <c r="G8">
        <v>80</v>
      </c>
      <c r="H8">
        <f t="shared" si="0"/>
        <v>59.75</v>
      </c>
      <c r="I8" t="s">
        <v>76</v>
      </c>
    </row>
    <row r="9" spans="1:9" x14ac:dyDescent="0.25">
      <c r="B9" t="s">
        <v>69</v>
      </c>
      <c r="C9" t="s">
        <v>77</v>
      </c>
      <c r="D9">
        <v>25</v>
      </c>
      <c r="E9">
        <v>50</v>
      </c>
      <c r="F9">
        <v>65</v>
      </c>
      <c r="G9">
        <v>75</v>
      </c>
      <c r="H9">
        <f t="shared" si="0"/>
        <v>53.75</v>
      </c>
      <c r="I9" t="s">
        <v>76</v>
      </c>
    </row>
    <row r="10" spans="1:9" x14ac:dyDescent="0.25">
      <c r="B10" t="s">
        <v>74</v>
      </c>
      <c r="C10" t="s">
        <v>78</v>
      </c>
      <c r="D10">
        <v>19</v>
      </c>
      <c r="E10">
        <v>48</v>
      </c>
      <c r="F10">
        <v>54</v>
      </c>
      <c r="G10">
        <v>70</v>
      </c>
      <c r="H10">
        <f t="shared" si="0"/>
        <v>47.75</v>
      </c>
      <c r="I10" t="s">
        <v>76</v>
      </c>
    </row>
    <row r="11" spans="1:9" x14ac:dyDescent="0.25">
      <c r="B11" t="s">
        <v>79</v>
      </c>
      <c r="C11" t="s">
        <v>80</v>
      </c>
      <c r="D11">
        <v>12</v>
      </c>
      <c r="E11">
        <v>41</v>
      </c>
      <c r="F11">
        <v>50</v>
      </c>
      <c r="G11">
        <v>65</v>
      </c>
      <c r="H11">
        <f t="shared" si="0"/>
        <v>42</v>
      </c>
      <c r="I11" t="s">
        <v>81</v>
      </c>
    </row>
    <row r="12" spans="1:9" x14ac:dyDescent="0.25">
      <c r="D12" t="s">
        <v>88</v>
      </c>
      <c r="F12" t="s">
        <v>88</v>
      </c>
      <c r="G12" t="s">
        <v>89</v>
      </c>
    </row>
    <row r="15" spans="1:9" x14ac:dyDescent="0.25">
      <c r="B15" s="23" t="s">
        <v>58</v>
      </c>
      <c r="C15" s="23" t="s">
        <v>59</v>
      </c>
      <c r="D15" s="23" t="s">
        <v>60</v>
      </c>
      <c r="E15" s="23" t="s">
        <v>61</v>
      </c>
      <c r="F15" s="23" t="s">
        <v>62</v>
      </c>
      <c r="G15" s="23" t="s">
        <v>63</v>
      </c>
      <c r="H15" s="23" t="s">
        <v>64</v>
      </c>
      <c r="I15" s="23" t="s">
        <v>65</v>
      </c>
    </row>
    <row r="16" spans="1:9" x14ac:dyDescent="0.25">
      <c r="B16" s="23" t="s">
        <v>66</v>
      </c>
      <c r="C16" s="23" t="s">
        <v>67</v>
      </c>
      <c r="D16" s="24">
        <v>94</v>
      </c>
      <c r="E16" s="24">
        <v>80</v>
      </c>
      <c r="F16" s="24">
        <v>95</v>
      </c>
      <c r="G16" s="24">
        <v>100</v>
      </c>
      <c r="H16" s="25">
        <v>92.25</v>
      </c>
      <c r="I16" s="23" t="s">
        <v>68</v>
      </c>
    </row>
    <row r="17" spans="2:9" x14ac:dyDescent="0.25">
      <c r="B17" s="23" t="s">
        <v>69</v>
      </c>
      <c r="C17" s="23" t="s">
        <v>70</v>
      </c>
      <c r="D17" s="24">
        <v>86</v>
      </c>
      <c r="E17" s="24">
        <v>75</v>
      </c>
      <c r="F17" s="24">
        <v>81</v>
      </c>
      <c r="G17" s="24">
        <v>90</v>
      </c>
      <c r="H17" s="26">
        <v>83</v>
      </c>
      <c r="I17" s="23" t="s">
        <v>68</v>
      </c>
    </row>
    <row r="18" spans="2:9" x14ac:dyDescent="0.25">
      <c r="B18" s="23" t="s">
        <v>71</v>
      </c>
      <c r="C18" s="23" t="s">
        <v>72</v>
      </c>
      <c r="D18" s="24">
        <v>74</v>
      </c>
      <c r="E18" s="24">
        <v>70</v>
      </c>
      <c r="F18" s="24">
        <v>74</v>
      </c>
      <c r="G18" s="24">
        <v>85</v>
      </c>
      <c r="H18" s="27">
        <v>75.75</v>
      </c>
      <c r="I18" s="23" t="s">
        <v>73</v>
      </c>
    </row>
    <row r="19" spans="2:9" x14ac:dyDescent="0.25">
      <c r="B19" s="23" t="s">
        <v>74</v>
      </c>
      <c r="C19" s="23" t="s">
        <v>75</v>
      </c>
      <c r="D19" s="24">
        <v>28</v>
      </c>
      <c r="E19" s="24">
        <v>60</v>
      </c>
      <c r="F19" s="24">
        <v>71</v>
      </c>
      <c r="G19" s="24">
        <v>80</v>
      </c>
      <c r="H19" s="28">
        <v>59.75</v>
      </c>
      <c r="I19" s="23" t="s">
        <v>76</v>
      </c>
    </row>
    <row r="20" spans="2:9" x14ac:dyDescent="0.25">
      <c r="B20" s="23" t="s">
        <v>69</v>
      </c>
      <c r="C20" s="23" t="s">
        <v>77</v>
      </c>
      <c r="D20" s="24">
        <v>25</v>
      </c>
      <c r="E20" s="24">
        <v>50</v>
      </c>
      <c r="F20" s="24">
        <v>65</v>
      </c>
      <c r="G20" s="24">
        <v>75</v>
      </c>
      <c r="H20" s="29">
        <v>53.75</v>
      </c>
      <c r="I20" s="23" t="s">
        <v>76</v>
      </c>
    </row>
    <row r="21" spans="2:9" x14ac:dyDescent="0.25">
      <c r="B21" s="23" t="s">
        <v>74</v>
      </c>
      <c r="C21" s="23" t="s">
        <v>78</v>
      </c>
      <c r="D21" s="24">
        <v>19</v>
      </c>
      <c r="E21" s="24">
        <v>48</v>
      </c>
      <c r="F21" s="24">
        <v>54</v>
      </c>
      <c r="G21" s="24">
        <v>70</v>
      </c>
      <c r="H21" s="30">
        <v>47.75</v>
      </c>
      <c r="I21" s="23" t="s">
        <v>76</v>
      </c>
    </row>
    <row r="22" spans="2:9" x14ac:dyDescent="0.25">
      <c r="B22" s="23" t="s">
        <v>79</v>
      </c>
      <c r="C22" s="23" t="s">
        <v>80</v>
      </c>
      <c r="D22" s="24">
        <v>12</v>
      </c>
      <c r="E22" s="24">
        <v>41</v>
      </c>
      <c r="F22" s="24">
        <v>50</v>
      </c>
      <c r="G22" s="24">
        <v>65</v>
      </c>
      <c r="H22" s="31">
        <v>42</v>
      </c>
      <c r="I22" s="23" t="s">
        <v>81</v>
      </c>
    </row>
  </sheetData>
  <conditionalFormatting sqref="H5:H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r:id="rId1" xr:uid="{521EF105-0918-48AC-893C-9F22622AF7E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33C19-C0A5-41C2-ADBA-753565802C14}">
  <dimension ref="A5:L43"/>
  <sheetViews>
    <sheetView topLeftCell="A13" workbookViewId="0">
      <selection activeCell="B19" sqref="B19"/>
    </sheetView>
  </sheetViews>
  <sheetFormatPr defaultRowHeight="15" x14ac:dyDescent="0.25"/>
  <sheetData>
    <row r="5" spans="1:12" ht="30" x14ac:dyDescent="0.25">
      <c r="A5" s="35" t="s">
        <v>93</v>
      </c>
      <c r="B5" s="36">
        <v>4834139</v>
      </c>
      <c r="C5" s="35" t="s">
        <v>94</v>
      </c>
      <c r="D5" s="36">
        <v>4</v>
      </c>
      <c r="E5" s="35" t="s">
        <v>95</v>
      </c>
      <c r="F5" s="36">
        <v>5</v>
      </c>
      <c r="G5" s="35" t="s">
        <v>96</v>
      </c>
      <c r="H5" s="36">
        <v>4</v>
      </c>
      <c r="I5" s="35" t="s">
        <v>97</v>
      </c>
      <c r="J5" s="36">
        <v>0</v>
      </c>
      <c r="K5" s="35" t="s">
        <v>98</v>
      </c>
      <c r="L5" s="36" t="s">
        <v>99</v>
      </c>
    </row>
    <row r="7" spans="1:12" x14ac:dyDescent="0.25">
      <c r="A7" s="37" t="s">
        <v>100</v>
      </c>
      <c r="B7" s="38" t="s">
        <v>101</v>
      </c>
      <c r="C7" s="38" t="s">
        <v>102</v>
      </c>
      <c r="D7" s="38" t="s">
        <v>103</v>
      </c>
      <c r="E7" s="38" t="s">
        <v>104</v>
      </c>
      <c r="F7" s="38" t="s">
        <v>105</v>
      </c>
      <c r="G7" s="38" t="s">
        <v>106</v>
      </c>
    </row>
    <row r="8" spans="1:12" x14ac:dyDescent="0.25">
      <c r="A8" s="38" t="s">
        <v>107</v>
      </c>
      <c r="B8" s="37">
        <v>1</v>
      </c>
      <c r="C8" s="37">
        <v>1</v>
      </c>
      <c r="D8" s="37">
        <v>1</v>
      </c>
      <c r="E8" s="37">
        <v>4</v>
      </c>
      <c r="F8" s="37">
        <v>2</v>
      </c>
      <c r="G8" s="37">
        <v>100</v>
      </c>
    </row>
    <row r="9" spans="1:12" x14ac:dyDescent="0.25">
      <c r="A9" s="38" t="s">
        <v>108</v>
      </c>
      <c r="B9" s="37">
        <v>2</v>
      </c>
      <c r="C9" s="37">
        <v>1</v>
      </c>
      <c r="D9" s="37">
        <v>2</v>
      </c>
      <c r="E9" s="37">
        <v>3</v>
      </c>
      <c r="F9" s="37">
        <v>3</v>
      </c>
      <c r="G9" s="37">
        <v>100</v>
      </c>
    </row>
    <row r="10" spans="1:12" x14ac:dyDescent="0.25">
      <c r="A10" s="38" t="s">
        <v>109</v>
      </c>
      <c r="B10" s="37">
        <v>2</v>
      </c>
      <c r="C10" s="37">
        <v>1</v>
      </c>
      <c r="D10" s="37">
        <v>2</v>
      </c>
      <c r="E10" s="37">
        <v>1</v>
      </c>
      <c r="F10" s="37">
        <v>3</v>
      </c>
      <c r="G10" s="37">
        <v>100</v>
      </c>
    </row>
    <row r="11" spans="1:12" x14ac:dyDescent="0.25">
      <c r="A11" s="38" t="s">
        <v>110</v>
      </c>
      <c r="B11" s="37">
        <v>4</v>
      </c>
      <c r="C11" s="37">
        <v>1</v>
      </c>
      <c r="D11" s="37">
        <v>4</v>
      </c>
      <c r="E11" s="37">
        <v>2</v>
      </c>
      <c r="F11" s="37">
        <v>1</v>
      </c>
      <c r="G11" s="37">
        <v>100</v>
      </c>
    </row>
    <row r="13" spans="1:12" ht="30" x14ac:dyDescent="0.25">
      <c r="A13" s="37" t="s">
        <v>111</v>
      </c>
      <c r="B13" s="38" t="s">
        <v>101</v>
      </c>
      <c r="C13" s="38" t="s">
        <v>102</v>
      </c>
      <c r="D13" s="38" t="s">
        <v>103</v>
      </c>
      <c r="E13" s="38" t="s">
        <v>104</v>
      </c>
      <c r="F13" s="38" t="s">
        <v>105</v>
      </c>
    </row>
    <row r="14" spans="1:12" ht="30" x14ac:dyDescent="0.25">
      <c r="A14" s="38" t="s">
        <v>112</v>
      </c>
      <c r="B14" s="37" t="s">
        <v>113</v>
      </c>
      <c r="C14" s="37" t="s">
        <v>114</v>
      </c>
      <c r="D14" s="37" t="s">
        <v>114</v>
      </c>
      <c r="E14" s="37" t="s">
        <v>115</v>
      </c>
      <c r="F14" s="37" t="s">
        <v>116</v>
      </c>
    </row>
    <row r="15" spans="1:12" ht="30" x14ac:dyDescent="0.25">
      <c r="A15" s="38" t="s">
        <v>117</v>
      </c>
      <c r="B15" s="37" t="s">
        <v>118</v>
      </c>
      <c r="C15" s="37" t="s">
        <v>118</v>
      </c>
      <c r="D15" s="37" t="s">
        <v>118</v>
      </c>
      <c r="E15" s="37" t="s">
        <v>119</v>
      </c>
      <c r="F15" s="37" t="s">
        <v>118</v>
      </c>
    </row>
    <row r="16" spans="1:12" ht="30" x14ac:dyDescent="0.25">
      <c r="A16" s="38" t="s">
        <v>120</v>
      </c>
      <c r="B16" s="37" t="s">
        <v>121</v>
      </c>
      <c r="C16" s="37" t="s">
        <v>121</v>
      </c>
      <c r="D16" s="37" t="s">
        <v>121</v>
      </c>
      <c r="E16" s="37" t="s">
        <v>122</v>
      </c>
      <c r="F16" s="37" t="s">
        <v>121</v>
      </c>
    </row>
    <row r="17" spans="1:10" ht="30" x14ac:dyDescent="0.25">
      <c r="A17" s="38" t="s">
        <v>123</v>
      </c>
      <c r="B17" s="37" t="s">
        <v>124</v>
      </c>
      <c r="C17" s="37" t="s">
        <v>124</v>
      </c>
      <c r="D17" s="37" t="s">
        <v>124</v>
      </c>
      <c r="E17" s="37" t="s">
        <v>125</v>
      </c>
      <c r="F17" s="37" t="s">
        <v>124</v>
      </c>
    </row>
    <row r="19" spans="1:10" ht="30" x14ac:dyDescent="0.25">
      <c r="A19" s="37" t="s">
        <v>126</v>
      </c>
      <c r="B19" s="38" t="s">
        <v>101</v>
      </c>
      <c r="C19" s="38" t="s">
        <v>102</v>
      </c>
      <c r="D19" s="38" t="s">
        <v>103</v>
      </c>
      <c r="E19" s="38" t="s">
        <v>104</v>
      </c>
      <c r="F19" s="38" t="s">
        <v>105</v>
      </c>
    </row>
    <row r="20" spans="1:10" x14ac:dyDescent="0.25">
      <c r="A20" s="38" t="s">
        <v>112</v>
      </c>
      <c r="B20" s="39">
        <v>17288</v>
      </c>
      <c r="C20" s="37">
        <v>3</v>
      </c>
      <c r="D20" s="37">
        <v>3</v>
      </c>
      <c r="E20" s="37">
        <v>93</v>
      </c>
      <c r="F20" s="37">
        <v>5</v>
      </c>
    </row>
    <row r="21" spans="1:10" x14ac:dyDescent="0.25">
      <c r="A21" s="38" t="s">
        <v>117</v>
      </c>
      <c r="B21" s="37">
        <v>2</v>
      </c>
      <c r="C21" s="37">
        <v>2</v>
      </c>
      <c r="D21" s="37">
        <v>2</v>
      </c>
      <c r="E21" s="37">
        <v>92</v>
      </c>
      <c r="F21" s="37">
        <v>2</v>
      </c>
    </row>
    <row r="22" spans="1:10" x14ac:dyDescent="0.25">
      <c r="A22" s="38" t="s">
        <v>120</v>
      </c>
      <c r="B22" s="37">
        <v>1</v>
      </c>
      <c r="C22" s="37">
        <v>1</v>
      </c>
      <c r="D22" s="37">
        <v>1</v>
      </c>
      <c r="E22" s="37">
        <v>91</v>
      </c>
      <c r="F22" s="37">
        <v>1</v>
      </c>
    </row>
    <row r="23" spans="1:10" x14ac:dyDescent="0.25">
      <c r="A23" s="38" t="s">
        <v>123</v>
      </c>
      <c r="B23" s="37">
        <v>0</v>
      </c>
      <c r="C23" s="37">
        <v>0</v>
      </c>
      <c r="D23" s="37">
        <v>0</v>
      </c>
      <c r="E23" s="39">
        <v>16193</v>
      </c>
      <c r="F23" s="37">
        <v>0</v>
      </c>
    </row>
    <row r="25" spans="1:10" ht="30" x14ac:dyDescent="0.25">
      <c r="A25" s="37" t="s">
        <v>127</v>
      </c>
      <c r="B25" s="38" t="s">
        <v>101</v>
      </c>
      <c r="C25" s="38" t="s">
        <v>102</v>
      </c>
      <c r="D25" s="38" t="s">
        <v>103</v>
      </c>
      <c r="E25" s="38" t="s">
        <v>104</v>
      </c>
      <c r="F25" s="38" t="s">
        <v>105</v>
      </c>
      <c r="G25" s="38" t="s">
        <v>128</v>
      </c>
      <c r="H25" s="38" t="s">
        <v>129</v>
      </c>
      <c r="I25" s="38" t="s">
        <v>130</v>
      </c>
      <c r="J25" s="38" t="s">
        <v>131</v>
      </c>
    </row>
    <row r="26" spans="1:10" x14ac:dyDescent="0.25">
      <c r="A26" s="38" t="s">
        <v>107</v>
      </c>
      <c r="B26" s="39">
        <v>17288</v>
      </c>
      <c r="C26" s="37">
        <v>3</v>
      </c>
      <c r="D26" s="37">
        <v>3</v>
      </c>
      <c r="E26" s="39">
        <v>16193</v>
      </c>
      <c r="F26" s="37">
        <v>2</v>
      </c>
      <c r="G26" s="37">
        <v>100</v>
      </c>
      <c r="H26" s="37">
        <v>100</v>
      </c>
      <c r="I26" s="37">
        <v>0</v>
      </c>
      <c r="J26" s="37">
        <v>0</v>
      </c>
    </row>
    <row r="27" spans="1:10" x14ac:dyDescent="0.25">
      <c r="A27" s="38" t="s">
        <v>108</v>
      </c>
      <c r="B27" s="37">
        <v>2</v>
      </c>
      <c r="C27" s="37">
        <v>3</v>
      </c>
      <c r="D27" s="37">
        <v>2</v>
      </c>
      <c r="E27" s="37">
        <v>91</v>
      </c>
      <c r="F27" s="37">
        <v>1</v>
      </c>
      <c r="G27" s="37">
        <v>99</v>
      </c>
      <c r="H27" s="37">
        <v>100</v>
      </c>
      <c r="I27" s="37">
        <v>1</v>
      </c>
      <c r="J27" s="37">
        <v>1</v>
      </c>
    </row>
    <row r="28" spans="1:10" x14ac:dyDescent="0.25">
      <c r="A28" s="38" t="s">
        <v>109</v>
      </c>
      <c r="B28" s="37">
        <v>2</v>
      </c>
      <c r="C28" s="37">
        <v>3</v>
      </c>
      <c r="D28" s="37">
        <v>2</v>
      </c>
      <c r="E28" s="37">
        <v>93</v>
      </c>
      <c r="F28" s="37">
        <v>1</v>
      </c>
      <c r="G28" s="37">
        <v>101</v>
      </c>
      <c r="H28" s="37">
        <v>100</v>
      </c>
      <c r="I28" s="37">
        <v>-1</v>
      </c>
      <c r="J28" s="37">
        <v>-1</v>
      </c>
    </row>
    <row r="29" spans="1:10" x14ac:dyDescent="0.25">
      <c r="A29" s="38" t="s">
        <v>110</v>
      </c>
      <c r="B29" s="37">
        <v>0</v>
      </c>
      <c r="C29" s="37">
        <v>3</v>
      </c>
      <c r="D29" s="37">
        <v>0</v>
      </c>
      <c r="E29" s="37">
        <v>92</v>
      </c>
      <c r="F29" s="37">
        <v>5</v>
      </c>
      <c r="G29" s="37">
        <v>100</v>
      </c>
      <c r="H29" s="37">
        <v>100</v>
      </c>
      <c r="I29" s="37">
        <v>0</v>
      </c>
      <c r="J29" s="37">
        <v>0</v>
      </c>
    </row>
    <row r="31" spans="1:10" ht="30" x14ac:dyDescent="0.25">
      <c r="A31" s="40" t="s">
        <v>132</v>
      </c>
      <c r="B31" s="41" t="s">
        <v>133</v>
      </c>
    </row>
    <row r="32" spans="1:10" ht="30" x14ac:dyDescent="0.25">
      <c r="A32" s="40" t="s">
        <v>134</v>
      </c>
      <c r="B32" s="42">
        <v>16193</v>
      </c>
    </row>
    <row r="33" spans="1:2" ht="30" x14ac:dyDescent="0.25">
      <c r="A33" s="40" t="s">
        <v>135</v>
      </c>
      <c r="B33" s="41">
        <v>400</v>
      </c>
    </row>
    <row r="34" spans="1:2" ht="30" x14ac:dyDescent="0.25">
      <c r="A34" s="40" t="s">
        <v>136</v>
      </c>
      <c r="B34" s="41">
        <v>400</v>
      </c>
    </row>
    <row r="35" spans="1:2" ht="60" x14ac:dyDescent="0.25">
      <c r="A35" s="40" t="s">
        <v>137</v>
      </c>
      <c r="B35" s="41">
        <v>0</v>
      </c>
    </row>
    <row r="36" spans="1:2" ht="45" x14ac:dyDescent="0.25">
      <c r="A36" s="40" t="s">
        <v>138</v>
      </c>
      <c r="B36" s="41"/>
    </row>
    <row r="37" spans="1:2" ht="45" x14ac:dyDescent="0.25">
      <c r="A37" s="40" t="s">
        <v>139</v>
      </c>
      <c r="B37" s="41"/>
    </row>
    <row r="38" spans="1:2" ht="45" x14ac:dyDescent="0.25">
      <c r="A38" s="40" t="s">
        <v>140</v>
      </c>
      <c r="B38" s="41">
        <v>0</v>
      </c>
    </row>
    <row r="40" spans="1:2" x14ac:dyDescent="0.25">
      <c r="A40" s="9" t="s">
        <v>141</v>
      </c>
    </row>
    <row r="42" spans="1:2" x14ac:dyDescent="0.25">
      <c r="A42" t="s">
        <v>142</v>
      </c>
    </row>
    <row r="43" spans="1:2" x14ac:dyDescent="0.25">
      <c r="A43" t="s">
        <v>143</v>
      </c>
    </row>
  </sheetData>
  <hyperlinks>
    <hyperlink ref="A40" r:id="rId1" display="https://miau.my-x.hu/myx-free/coco/test/483413920190515173324.html" xr:uid="{47E99E19-930E-454C-87D9-077E7A02A33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CMPR (2)</vt:lpstr>
      <vt:lpstr>S5</vt:lpstr>
      <vt:lpstr>CMPR</vt:lpstr>
      <vt:lpstr>S1</vt:lpstr>
      <vt:lpstr>S2</vt:lpstr>
      <vt:lpstr>S3</vt:lpstr>
      <vt:lpstr>robot2</vt:lpstr>
      <vt:lpstr>S4</vt:lpstr>
      <vt:lpstr>Robot Opinion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belep</cp:lastModifiedBy>
  <dcterms:created xsi:type="dcterms:W3CDTF">2019-05-08T10:42:15Z</dcterms:created>
  <dcterms:modified xsi:type="dcterms:W3CDTF">2019-05-22T17:58:26Z</dcterms:modified>
</cp:coreProperties>
</file>