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ownloads\kje\harmony\"/>
    </mc:Choice>
  </mc:AlternateContent>
  <xr:revisionPtr revIDLastSave="0" documentId="13_ncr:1_{9798AA57-5C0D-4F28-8DEC-C92D22E3A95C}" xr6:coauthVersionLast="47" xr6:coauthVersionMax="47" xr10:uidLastSave="{00000000-0000-0000-0000-000000000000}"/>
  <bookViews>
    <workbookView xWindow="-108" yWindow="-108" windowWidth="23256" windowHeight="12720" firstSheet="4" activeTab="15" xr2:uid="{00000000-000D-0000-FFFF-FFFF00000000}"/>
  </bookViews>
  <sheets>
    <sheet name="1ofn" sheetId="1" r:id="rId1"/>
    <sheet name="2ofn" sheetId="2" r:id="rId2"/>
    <sheet name="3ofn" sheetId="3" r:id="rId3"/>
    <sheet name="4ofn" sheetId="4" r:id="rId4"/>
    <sheet name="5ofn" sheetId="5" r:id="rId5"/>
    <sheet name="6ofn" sheetId="6" r:id="rId6"/>
    <sheet name="7ofn" sheetId="7" r:id="rId7"/>
    <sheet name="8ofn" sheetId="8" r:id="rId8"/>
    <sheet name="9ofn" sheetId="9" r:id="rId9"/>
    <sheet name="10ofn" sheetId="10" r:id="rId10"/>
    <sheet name="11ofn" sheetId="11" r:id="rId11"/>
    <sheet name="12ofn" sheetId="12" r:id="rId12"/>
    <sheet name="OAM" sheetId="13" r:id="rId13"/>
    <sheet name="OAM (2)" sheetId="14" r:id="rId14"/>
    <sheet name="OAM (3)" sheetId="15" r:id="rId15"/>
    <sheet name="OAM (4)" sheetId="16" r:id="rId16"/>
    <sheet name="OAM (5)" sheetId="17" r:id="rId17"/>
  </sheets>
  <definedNames>
    <definedName name="solver_adj" localSheetId="13" hidden="1">'OAM (2)'!$B$26:$I$34</definedName>
    <definedName name="solver_adj" localSheetId="14" hidden="1">'OAM (3)'!$B$26:$I$34</definedName>
    <definedName name="solver_adj" localSheetId="15" hidden="1">'OAM (4)'!$B$26:$I$34</definedName>
    <definedName name="solver_adj" localSheetId="16" hidden="1">'OAM (5)'!$B$26:$I$34</definedName>
    <definedName name="solver_cvg" localSheetId="13" hidden="1">0.0001</definedName>
    <definedName name="solver_cvg" localSheetId="14" hidden="1">0.0001</definedName>
    <definedName name="solver_cvg" localSheetId="15" hidden="1">0.0001</definedName>
    <definedName name="solver_cvg" localSheetId="16" hidden="1">0.0001</definedName>
    <definedName name="solver_drv" localSheetId="13" hidden="1">1</definedName>
    <definedName name="solver_drv" localSheetId="14" hidden="1">1</definedName>
    <definedName name="solver_drv" localSheetId="15" hidden="1">1</definedName>
    <definedName name="solver_drv" localSheetId="16" hidden="1">1</definedName>
    <definedName name="solver_eng" localSheetId="13" hidden="1">1</definedName>
    <definedName name="solver_eng" localSheetId="14" hidden="1">1</definedName>
    <definedName name="solver_eng" localSheetId="15" hidden="1">1</definedName>
    <definedName name="solver_eng" localSheetId="16" hidden="1">1</definedName>
    <definedName name="solver_est" localSheetId="13" hidden="1">1</definedName>
    <definedName name="solver_est" localSheetId="14" hidden="1">1</definedName>
    <definedName name="solver_est" localSheetId="15" hidden="1">1</definedName>
    <definedName name="solver_est" localSheetId="16" hidden="1">1</definedName>
    <definedName name="solver_itr" localSheetId="13" hidden="1">2147483647</definedName>
    <definedName name="solver_itr" localSheetId="14" hidden="1">2147483647</definedName>
    <definedName name="solver_itr" localSheetId="15" hidden="1">2147483647</definedName>
    <definedName name="solver_itr" localSheetId="16" hidden="1">2147483647</definedName>
    <definedName name="solver_lhs1" localSheetId="13" hidden="1">'OAM (2)'!$L$26:$R$33</definedName>
    <definedName name="solver_lhs1" localSheetId="14" hidden="1">'OAM (3)'!$L$26:$R$33</definedName>
    <definedName name="solver_lhs1" localSheetId="15" hidden="1">'OAM (4)'!$L$26:$S$33</definedName>
    <definedName name="solver_lhs1" localSheetId="16" hidden="1">'OAM (5)'!$L$26:$S$33</definedName>
    <definedName name="solver_mip" localSheetId="13" hidden="1">2147483647</definedName>
    <definedName name="solver_mip" localSheetId="14" hidden="1">2147483647</definedName>
    <definedName name="solver_mip" localSheetId="15" hidden="1">2147483647</definedName>
    <definedName name="solver_mip" localSheetId="16" hidden="1">2147483647</definedName>
    <definedName name="solver_mni" localSheetId="13" hidden="1">30</definedName>
    <definedName name="solver_mni" localSheetId="14" hidden="1">30</definedName>
    <definedName name="solver_mni" localSheetId="15" hidden="1">30</definedName>
    <definedName name="solver_mni" localSheetId="16" hidden="1">30</definedName>
    <definedName name="solver_mrt" localSheetId="13" hidden="1">0.075</definedName>
    <definedName name="solver_mrt" localSheetId="14" hidden="1">0.075</definedName>
    <definedName name="solver_mrt" localSheetId="15" hidden="1">0.075</definedName>
    <definedName name="solver_mrt" localSheetId="16" hidden="1">0.075</definedName>
    <definedName name="solver_msl" localSheetId="13" hidden="1">2</definedName>
    <definedName name="solver_msl" localSheetId="14" hidden="1">2</definedName>
    <definedName name="solver_msl" localSheetId="15" hidden="1">2</definedName>
    <definedName name="solver_msl" localSheetId="16" hidden="1">2</definedName>
    <definedName name="solver_neg" localSheetId="13" hidden="1">1</definedName>
    <definedName name="solver_neg" localSheetId="14" hidden="1">1</definedName>
    <definedName name="solver_neg" localSheetId="15" hidden="1">1</definedName>
    <definedName name="solver_neg" localSheetId="16" hidden="1">1</definedName>
    <definedName name="solver_nod" localSheetId="13" hidden="1">2147483647</definedName>
    <definedName name="solver_nod" localSheetId="14" hidden="1">2147483647</definedName>
    <definedName name="solver_nod" localSheetId="15" hidden="1">2147483647</definedName>
    <definedName name="solver_nod" localSheetId="16" hidden="1">2147483647</definedName>
    <definedName name="solver_num" localSheetId="13" hidden="1">1</definedName>
    <definedName name="solver_num" localSheetId="14" hidden="1">1</definedName>
    <definedName name="solver_num" localSheetId="15" hidden="1">1</definedName>
    <definedName name="solver_num" localSheetId="16" hidden="1">1</definedName>
    <definedName name="solver_nwt" localSheetId="13" hidden="1">1</definedName>
    <definedName name="solver_nwt" localSheetId="14" hidden="1">1</definedName>
    <definedName name="solver_nwt" localSheetId="15" hidden="1">1</definedName>
    <definedName name="solver_nwt" localSheetId="16" hidden="1">1</definedName>
    <definedName name="solver_opt" localSheetId="13" hidden="1">'OAM (2)'!$L$48</definedName>
    <definedName name="solver_opt" localSheetId="14" hidden="1">'OAM (3)'!$L$48</definedName>
    <definedName name="solver_opt" localSheetId="15" hidden="1">'OAM (4)'!$L$48</definedName>
    <definedName name="solver_opt" localSheetId="16" hidden="1">'OAM (5)'!$L$48</definedName>
    <definedName name="solver_pre" localSheetId="13" hidden="1">0.000001</definedName>
    <definedName name="solver_pre" localSheetId="14" hidden="1">0.000001</definedName>
    <definedName name="solver_pre" localSheetId="15" hidden="1">0.000001</definedName>
    <definedName name="solver_pre" localSheetId="16" hidden="1">0.000001</definedName>
    <definedName name="solver_rbv" localSheetId="13" hidden="1">1</definedName>
    <definedName name="solver_rbv" localSheetId="14" hidden="1">1</definedName>
    <definedName name="solver_rbv" localSheetId="15" hidden="1">1</definedName>
    <definedName name="solver_rbv" localSheetId="16" hidden="1">1</definedName>
    <definedName name="solver_rel1" localSheetId="13" hidden="1">3</definedName>
    <definedName name="solver_rel1" localSheetId="14" hidden="1">3</definedName>
    <definedName name="solver_rel1" localSheetId="15" hidden="1">3</definedName>
    <definedName name="solver_rel1" localSheetId="16" hidden="1">3</definedName>
    <definedName name="solver_rhs1" localSheetId="13" hidden="1">1</definedName>
    <definedName name="solver_rhs1" localSheetId="14" hidden="1">1</definedName>
    <definedName name="solver_rhs1" localSheetId="15" hidden="1">1</definedName>
    <definedName name="solver_rhs1" localSheetId="16" hidden="1">1</definedName>
    <definedName name="solver_rlx" localSheetId="13" hidden="1">2</definedName>
    <definedName name="solver_rlx" localSheetId="14" hidden="1">2</definedName>
    <definedName name="solver_rlx" localSheetId="15" hidden="1">2</definedName>
    <definedName name="solver_rlx" localSheetId="16" hidden="1">2</definedName>
    <definedName name="solver_rsd" localSheetId="13" hidden="1">0</definedName>
    <definedName name="solver_rsd" localSheetId="14" hidden="1">0</definedName>
    <definedName name="solver_rsd" localSheetId="15" hidden="1">0</definedName>
    <definedName name="solver_rsd" localSheetId="16" hidden="1">0</definedName>
    <definedName name="solver_scl" localSheetId="13" hidden="1">1</definedName>
    <definedName name="solver_scl" localSheetId="14" hidden="1">1</definedName>
    <definedName name="solver_scl" localSheetId="15" hidden="1">1</definedName>
    <definedName name="solver_scl" localSheetId="16" hidden="1">1</definedName>
    <definedName name="solver_sho" localSheetId="13" hidden="1">2</definedName>
    <definedName name="solver_sho" localSheetId="14" hidden="1">2</definedName>
    <definedName name="solver_sho" localSheetId="15" hidden="1">2</definedName>
    <definedName name="solver_sho" localSheetId="16" hidden="1">2</definedName>
    <definedName name="solver_ssz" localSheetId="13" hidden="1">100</definedName>
    <definedName name="solver_ssz" localSheetId="14" hidden="1">100</definedName>
    <definedName name="solver_ssz" localSheetId="15" hidden="1">100</definedName>
    <definedName name="solver_ssz" localSheetId="16" hidden="1">100</definedName>
    <definedName name="solver_tim" localSheetId="13" hidden="1">2147483647</definedName>
    <definedName name="solver_tim" localSheetId="14" hidden="1">2147483647</definedName>
    <definedName name="solver_tim" localSheetId="15" hidden="1">2147483647</definedName>
    <definedName name="solver_tim" localSheetId="16" hidden="1">2147483647</definedName>
    <definedName name="solver_tol" localSheetId="13" hidden="1">0.01</definedName>
    <definedName name="solver_tol" localSheetId="14" hidden="1">0.01</definedName>
    <definedName name="solver_tol" localSheetId="15" hidden="1">0.01</definedName>
    <definedName name="solver_tol" localSheetId="16" hidden="1">0.01</definedName>
    <definedName name="solver_typ" localSheetId="13" hidden="1">2</definedName>
    <definedName name="solver_typ" localSheetId="14" hidden="1">2</definedName>
    <definedName name="solver_typ" localSheetId="15" hidden="1">2</definedName>
    <definedName name="solver_typ" localSheetId="16" hidden="1">2</definedName>
    <definedName name="solver_val" localSheetId="13" hidden="1">0</definedName>
    <definedName name="solver_val" localSheetId="14" hidden="1">0</definedName>
    <definedName name="solver_val" localSheetId="15" hidden="1">0</definedName>
    <definedName name="solver_val" localSheetId="16" hidden="1">0</definedName>
    <definedName name="solver_ver" localSheetId="13" hidden="1">3</definedName>
    <definedName name="solver_ver" localSheetId="14" hidden="1">3</definedName>
    <definedName name="solver_ver" localSheetId="15" hidden="1">3</definedName>
    <definedName name="solver_ver" localSheetId="16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7" l="1"/>
  <c r="B45" i="17"/>
  <c r="B43" i="17"/>
  <c r="B42" i="17"/>
  <c r="B41" i="17"/>
  <c r="B40" i="17"/>
  <c r="B39" i="17"/>
  <c r="B38" i="17"/>
  <c r="B37" i="17"/>
  <c r="J46" i="17"/>
  <c r="H46" i="17"/>
  <c r="F46" i="17"/>
  <c r="J45" i="17"/>
  <c r="H45" i="17"/>
  <c r="E45" i="17"/>
  <c r="C45" i="17"/>
  <c r="I43" i="17"/>
  <c r="G43" i="17"/>
  <c r="F43" i="17"/>
  <c r="D43" i="17"/>
  <c r="J42" i="17"/>
  <c r="H42" i="17"/>
  <c r="A42" i="17"/>
  <c r="J41" i="17"/>
  <c r="E41" i="17"/>
  <c r="D41" i="17"/>
  <c r="C41" i="17"/>
  <c r="G40" i="17"/>
  <c r="F40" i="17"/>
  <c r="E40" i="17"/>
  <c r="I39" i="17"/>
  <c r="H39" i="17"/>
  <c r="A39" i="17"/>
  <c r="H38" i="17"/>
  <c r="F38" i="17"/>
  <c r="C38" i="17"/>
  <c r="E37" i="17"/>
  <c r="S33" i="17"/>
  <c r="R33" i="17"/>
  <c r="Q33" i="17"/>
  <c r="P33" i="17"/>
  <c r="O33" i="17"/>
  <c r="N33" i="17"/>
  <c r="M33" i="17"/>
  <c r="L33" i="17"/>
  <c r="S32" i="17"/>
  <c r="R32" i="17"/>
  <c r="Q32" i="17"/>
  <c r="P32" i="17"/>
  <c r="O32" i="17"/>
  <c r="N32" i="17"/>
  <c r="M32" i="17"/>
  <c r="L32" i="17"/>
  <c r="S31" i="17"/>
  <c r="R31" i="17"/>
  <c r="Q31" i="17"/>
  <c r="P31" i="17"/>
  <c r="O31" i="17"/>
  <c r="N31" i="17"/>
  <c r="M31" i="17"/>
  <c r="L31" i="17"/>
  <c r="S30" i="17"/>
  <c r="R30" i="17"/>
  <c r="Q30" i="17"/>
  <c r="P30" i="17"/>
  <c r="O30" i="17"/>
  <c r="N30" i="17"/>
  <c r="M30" i="17"/>
  <c r="L30" i="17"/>
  <c r="S29" i="17"/>
  <c r="R29" i="17"/>
  <c r="Q29" i="17"/>
  <c r="P29" i="17"/>
  <c r="O29" i="17"/>
  <c r="N29" i="17"/>
  <c r="M29" i="17"/>
  <c r="L29" i="17"/>
  <c r="S28" i="17"/>
  <c r="R28" i="17"/>
  <c r="Q28" i="17"/>
  <c r="P28" i="17"/>
  <c r="O28" i="17"/>
  <c r="N28" i="17"/>
  <c r="M28" i="17"/>
  <c r="L28" i="17"/>
  <c r="S27" i="17"/>
  <c r="R27" i="17"/>
  <c r="Q27" i="17"/>
  <c r="P27" i="17"/>
  <c r="O27" i="17"/>
  <c r="N27" i="17"/>
  <c r="M27" i="17"/>
  <c r="L27" i="17"/>
  <c r="S26" i="17"/>
  <c r="R26" i="17"/>
  <c r="Q26" i="17"/>
  <c r="P26" i="17"/>
  <c r="O26" i="17"/>
  <c r="N26" i="17"/>
  <c r="M26" i="17"/>
  <c r="L26" i="17"/>
  <c r="E25" i="17"/>
  <c r="O25" i="17" s="1"/>
  <c r="D25" i="17"/>
  <c r="N25" i="17" s="1"/>
  <c r="C25" i="17"/>
  <c r="M25" i="17" s="1"/>
  <c r="J23" i="17"/>
  <c r="I23" i="17"/>
  <c r="I46" i="17" s="1"/>
  <c r="H23" i="17"/>
  <c r="G23" i="17"/>
  <c r="G46" i="17" s="1"/>
  <c r="F23" i="17"/>
  <c r="E23" i="17"/>
  <c r="E46" i="17" s="1"/>
  <c r="D23" i="17"/>
  <c r="D46" i="17" s="1"/>
  <c r="C23" i="17"/>
  <c r="C46" i="17" s="1"/>
  <c r="A23" i="17"/>
  <c r="A46" i="17" s="1"/>
  <c r="J22" i="17"/>
  <c r="I22" i="17"/>
  <c r="I45" i="17" s="1"/>
  <c r="H22" i="17"/>
  <c r="G22" i="17"/>
  <c r="G45" i="17" s="1"/>
  <c r="F22" i="17"/>
  <c r="F45" i="17" s="1"/>
  <c r="E22" i="17"/>
  <c r="D22" i="17"/>
  <c r="D45" i="17" s="1"/>
  <c r="C22" i="17"/>
  <c r="A22" i="17"/>
  <c r="A45" i="17" s="1"/>
  <c r="J21" i="17"/>
  <c r="I21" i="17"/>
  <c r="H21" i="17"/>
  <c r="G21" i="17"/>
  <c r="F21" i="17"/>
  <c r="E21" i="17"/>
  <c r="D21" i="17"/>
  <c r="C21" i="17"/>
  <c r="A21" i="17"/>
  <c r="A44" i="17" s="1"/>
  <c r="J20" i="17"/>
  <c r="J43" i="17" s="1"/>
  <c r="I20" i="17"/>
  <c r="H20" i="17"/>
  <c r="H43" i="17" s="1"/>
  <c r="G20" i="17"/>
  <c r="F20" i="17"/>
  <c r="E20" i="17"/>
  <c r="E43" i="17" s="1"/>
  <c r="D20" i="17"/>
  <c r="C20" i="17"/>
  <c r="C43" i="17" s="1"/>
  <c r="A20" i="17"/>
  <c r="A43" i="17" s="1"/>
  <c r="J19" i="17"/>
  <c r="I19" i="17"/>
  <c r="I42" i="17" s="1"/>
  <c r="H19" i="17"/>
  <c r="G19" i="17"/>
  <c r="G42" i="17" s="1"/>
  <c r="F19" i="17"/>
  <c r="F42" i="17" s="1"/>
  <c r="E19" i="17"/>
  <c r="E42" i="17" s="1"/>
  <c r="D19" i="17"/>
  <c r="D42" i="17" s="1"/>
  <c r="C19" i="17"/>
  <c r="C42" i="17" s="1"/>
  <c r="A19" i="17"/>
  <c r="J18" i="17"/>
  <c r="I18" i="17"/>
  <c r="I41" i="17" s="1"/>
  <c r="H18" i="17"/>
  <c r="H41" i="17" s="1"/>
  <c r="G18" i="17"/>
  <c r="G41" i="17" s="1"/>
  <c r="F18" i="17"/>
  <c r="F41" i="17" s="1"/>
  <c r="E18" i="17"/>
  <c r="D18" i="17"/>
  <c r="C18" i="17"/>
  <c r="A18" i="17"/>
  <c r="A41" i="17" s="1"/>
  <c r="J17" i="17"/>
  <c r="J40" i="17" s="1"/>
  <c r="I17" i="17"/>
  <c r="I40" i="17" s="1"/>
  <c r="H17" i="17"/>
  <c r="H40" i="17" s="1"/>
  <c r="G17" i="17"/>
  <c r="F17" i="17"/>
  <c r="E17" i="17"/>
  <c r="D17" i="17"/>
  <c r="D40" i="17" s="1"/>
  <c r="C17" i="17"/>
  <c r="C40" i="17" s="1"/>
  <c r="A17" i="17"/>
  <c r="A40" i="17" s="1"/>
  <c r="J16" i="17"/>
  <c r="J39" i="17" s="1"/>
  <c r="I16" i="17"/>
  <c r="H16" i="17"/>
  <c r="G16" i="17"/>
  <c r="G39" i="17" s="1"/>
  <c r="F16" i="17"/>
  <c r="F39" i="17" s="1"/>
  <c r="E16" i="17"/>
  <c r="E39" i="17" s="1"/>
  <c r="D16" i="17"/>
  <c r="D39" i="17" s="1"/>
  <c r="C16" i="17"/>
  <c r="C39" i="17" s="1"/>
  <c r="A16" i="17"/>
  <c r="J15" i="17"/>
  <c r="J38" i="17" s="1"/>
  <c r="I15" i="17"/>
  <c r="I38" i="17" s="1"/>
  <c r="H15" i="17"/>
  <c r="G15" i="17"/>
  <c r="G38" i="17" s="1"/>
  <c r="F15" i="17"/>
  <c r="E15" i="17"/>
  <c r="E38" i="17" s="1"/>
  <c r="D15" i="17"/>
  <c r="D38" i="17" s="1"/>
  <c r="C15" i="17"/>
  <c r="A15" i="17"/>
  <c r="A38" i="17" s="1"/>
  <c r="J14" i="17"/>
  <c r="J37" i="17" s="1"/>
  <c r="I14" i="17"/>
  <c r="I25" i="17" s="1"/>
  <c r="H14" i="17"/>
  <c r="H25" i="17" s="1"/>
  <c r="G14" i="17"/>
  <c r="G25" i="17" s="1"/>
  <c r="F14" i="17"/>
  <c r="F25" i="17" s="1"/>
  <c r="E14" i="17"/>
  <c r="D14" i="17"/>
  <c r="C14" i="17"/>
  <c r="B14" i="17"/>
  <c r="B25" i="17" s="1"/>
  <c r="L25" i="17" s="1"/>
  <c r="B11" i="17"/>
  <c r="B22" i="17" s="1"/>
  <c r="B9" i="17"/>
  <c r="B8" i="17"/>
  <c r="B19" i="17" s="1"/>
  <c r="B6" i="17"/>
  <c r="B21" i="17" s="1"/>
  <c r="S33" i="16"/>
  <c r="S32" i="16"/>
  <c r="S31" i="16"/>
  <c r="S30" i="16"/>
  <c r="S29" i="16"/>
  <c r="S28" i="16"/>
  <c r="S27" i="16"/>
  <c r="S26" i="16"/>
  <c r="S25" i="16"/>
  <c r="F46" i="16"/>
  <c r="R33" i="16"/>
  <c r="Q33" i="16"/>
  <c r="P33" i="16"/>
  <c r="O33" i="16"/>
  <c r="N33" i="16"/>
  <c r="M33" i="16"/>
  <c r="L33" i="16"/>
  <c r="R32" i="16"/>
  <c r="Q32" i="16"/>
  <c r="P32" i="16"/>
  <c r="O32" i="16"/>
  <c r="N32" i="16"/>
  <c r="M32" i="16"/>
  <c r="L32" i="16"/>
  <c r="R31" i="16"/>
  <c r="Q31" i="16"/>
  <c r="P31" i="16"/>
  <c r="O31" i="16"/>
  <c r="N31" i="16"/>
  <c r="M31" i="16"/>
  <c r="L31" i="16"/>
  <c r="R30" i="16"/>
  <c r="Q30" i="16"/>
  <c r="P30" i="16"/>
  <c r="O30" i="16"/>
  <c r="N30" i="16"/>
  <c r="M30" i="16"/>
  <c r="L30" i="16"/>
  <c r="R29" i="16"/>
  <c r="Q29" i="16"/>
  <c r="P29" i="16"/>
  <c r="O29" i="16"/>
  <c r="N29" i="16"/>
  <c r="M29" i="16"/>
  <c r="L29" i="16"/>
  <c r="R28" i="16"/>
  <c r="Q28" i="16"/>
  <c r="P28" i="16"/>
  <c r="O28" i="16"/>
  <c r="N28" i="16"/>
  <c r="M28" i="16"/>
  <c r="L28" i="16"/>
  <c r="R27" i="16"/>
  <c r="Q27" i="16"/>
  <c r="P27" i="16"/>
  <c r="O27" i="16"/>
  <c r="N27" i="16"/>
  <c r="M27" i="16"/>
  <c r="L27" i="16"/>
  <c r="R26" i="16"/>
  <c r="Q26" i="16"/>
  <c r="P26" i="16"/>
  <c r="O26" i="16"/>
  <c r="N26" i="16"/>
  <c r="M26" i="16"/>
  <c r="L26" i="16"/>
  <c r="J23" i="16"/>
  <c r="J46" i="16" s="1"/>
  <c r="I23" i="16"/>
  <c r="I46" i="16" s="1"/>
  <c r="H23" i="16"/>
  <c r="H46" i="16" s="1"/>
  <c r="G23" i="16"/>
  <c r="G46" i="16" s="1"/>
  <c r="F23" i="16"/>
  <c r="E23" i="16"/>
  <c r="E46" i="16" s="1"/>
  <c r="D23" i="16"/>
  <c r="D46" i="16" s="1"/>
  <c r="C23" i="16"/>
  <c r="C46" i="16" s="1"/>
  <c r="A23" i="16"/>
  <c r="A46" i="16" s="1"/>
  <c r="J22" i="16"/>
  <c r="J45" i="16" s="1"/>
  <c r="I22" i="16"/>
  <c r="I45" i="16" s="1"/>
  <c r="H22" i="16"/>
  <c r="H45" i="16" s="1"/>
  <c r="G22" i="16"/>
  <c r="G45" i="16" s="1"/>
  <c r="F22" i="16"/>
  <c r="F45" i="16" s="1"/>
  <c r="E22" i="16"/>
  <c r="E45" i="16" s="1"/>
  <c r="D22" i="16"/>
  <c r="D45" i="16" s="1"/>
  <c r="C22" i="16"/>
  <c r="C45" i="16" s="1"/>
  <c r="A22" i="16"/>
  <c r="A45" i="16" s="1"/>
  <c r="J21" i="16"/>
  <c r="I21" i="16"/>
  <c r="H21" i="16"/>
  <c r="G21" i="16"/>
  <c r="F21" i="16"/>
  <c r="E21" i="16"/>
  <c r="D21" i="16"/>
  <c r="C21" i="16"/>
  <c r="A21" i="16"/>
  <c r="A44" i="16" s="1"/>
  <c r="J20" i="16"/>
  <c r="J43" i="16" s="1"/>
  <c r="I20" i="16"/>
  <c r="I43" i="16" s="1"/>
  <c r="H20" i="16"/>
  <c r="H43" i="16" s="1"/>
  <c r="G20" i="16"/>
  <c r="G43" i="16" s="1"/>
  <c r="F20" i="16"/>
  <c r="F43" i="16" s="1"/>
  <c r="E20" i="16"/>
  <c r="E43" i="16" s="1"/>
  <c r="D20" i="16"/>
  <c r="D43" i="16" s="1"/>
  <c r="C20" i="16"/>
  <c r="C43" i="16" s="1"/>
  <c r="A20" i="16"/>
  <c r="A43" i="16" s="1"/>
  <c r="J19" i="16"/>
  <c r="J42" i="16" s="1"/>
  <c r="I19" i="16"/>
  <c r="I42" i="16" s="1"/>
  <c r="H19" i="16"/>
  <c r="H42" i="16" s="1"/>
  <c r="G19" i="16"/>
  <c r="G42" i="16" s="1"/>
  <c r="F19" i="16"/>
  <c r="F42" i="16" s="1"/>
  <c r="E19" i="16"/>
  <c r="E42" i="16" s="1"/>
  <c r="D19" i="16"/>
  <c r="D42" i="16" s="1"/>
  <c r="C19" i="16"/>
  <c r="C42" i="16" s="1"/>
  <c r="A19" i="16"/>
  <c r="A42" i="16" s="1"/>
  <c r="J18" i="16"/>
  <c r="J41" i="16" s="1"/>
  <c r="I18" i="16"/>
  <c r="I41" i="16" s="1"/>
  <c r="H18" i="16"/>
  <c r="H41" i="16" s="1"/>
  <c r="G18" i="16"/>
  <c r="G41" i="16" s="1"/>
  <c r="F18" i="16"/>
  <c r="F41" i="16" s="1"/>
  <c r="E18" i="16"/>
  <c r="E41" i="16" s="1"/>
  <c r="D18" i="16"/>
  <c r="D41" i="16" s="1"/>
  <c r="C18" i="16"/>
  <c r="C41" i="16" s="1"/>
  <c r="A18" i="16"/>
  <c r="A41" i="16" s="1"/>
  <c r="J17" i="16"/>
  <c r="J40" i="16" s="1"/>
  <c r="I17" i="16"/>
  <c r="I40" i="16" s="1"/>
  <c r="H17" i="16"/>
  <c r="H40" i="16" s="1"/>
  <c r="G17" i="16"/>
  <c r="G40" i="16" s="1"/>
  <c r="F17" i="16"/>
  <c r="F40" i="16" s="1"/>
  <c r="E17" i="16"/>
  <c r="E40" i="16" s="1"/>
  <c r="D17" i="16"/>
  <c r="D40" i="16" s="1"/>
  <c r="C17" i="16"/>
  <c r="C40" i="16" s="1"/>
  <c r="A17" i="16"/>
  <c r="A40" i="16" s="1"/>
  <c r="J16" i="16"/>
  <c r="J39" i="16" s="1"/>
  <c r="I16" i="16"/>
  <c r="I39" i="16" s="1"/>
  <c r="H16" i="16"/>
  <c r="H39" i="16" s="1"/>
  <c r="G16" i="16"/>
  <c r="G39" i="16" s="1"/>
  <c r="F16" i="16"/>
  <c r="F39" i="16" s="1"/>
  <c r="E16" i="16"/>
  <c r="E39" i="16" s="1"/>
  <c r="D16" i="16"/>
  <c r="D39" i="16" s="1"/>
  <c r="C16" i="16"/>
  <c r="C39" i="16" s="1"/>
  <c r="A16" i="16"/>
  <c r="A39" i="16" s="1"/>
  <c r="J15" i="16"/>
  <c r="J38" i="16" s="1"/>
  <c r="J48" i="16" s="1"/>
  <c r="I15" i="16"/>
  <c r="I38" i="16" s="1"/>
  <c r="H15" i="16"/>
  <c r="H38" i="16" s="1"/>
  <c r="G15" i="16"/>
  <c r="G38" i="16" s="1"/>
  <c r="F15" i="16"/>
  <c r="F38" i="16" s="1"/>
  <c r="E15" i="16"/>
  <c r="E38" i="16" s="1"/>
  <c r="D15" i="16"/>
  <c r="D38" i="16" s="1"/>
  <c r="C15" i="16"/>
  <c r="C38" i="16" s="1"/>
  <c r="A15" i="16"/>
  <c r="A38" i="16" s="1"/>
  <c r="J14" i="16"/>
  <c r="J37" i="16" s="1"/>
  <c r="I14" i="16"/>
  <c r="I25" i="16" s="1"/>
  <c r="I37" i="16" s="1"/>
  <c r="H14" i="16"/>
  <c r="H25" i="16" s="1"/>
  <c r="H37" i="16" s="1"/>
  <c r="G14" i="16"/>
  <c r="G25" i="16" s="1"/>
  <c r="F14" i="16"/>
  <c r="F25" i="16" s="1"/>
  <c r="E14" i="16"/>
  <c r="E25" i="16" s="1"/>
  <c r="D14" i="16"/>
  <c r="D25" i="16" s="1"/>
  <c r="D37" i="16" s="1"/>
  <c r="C14" i="16"/>
  <c r="C25" i="16" s="1"/>
  <c r="B14" i="16"/>
  <c r="B25" i="16" s="1"/>
  <c r="B11" i="16"/>
  <c r="B22" i="16" s="1"/>
  <c r="B9" i="16"/>
  <c r="B8" i="16"/>
  <c r="B6" i="16"/>
  <c r="F42" i="15"/>
  <c r="J40" i="15"/>
  <c r="J38" i="15"/>
  <c r="R33" i="15"/>
  <c r="Q33" i="15"/>
  <c r="P33" i="15"/>
  <c r="O33" i="15"/>
  <c r="N33" i="15"/>
  <c r="M33" i="15"/>
  <c r="L33" i="15"/>
  <c r="R32" i="15"/>
  <c r="Q32" i="15"/>
  <c r="P32" i="15"/>
  <c r="O32" i="15"/>
  <c r="N32" i="15"/>
  <c r="M32" i="15"/>
  <c r="L32" i="15"/>
  <c r="R31" i="15"/>
  <c r="Q31" i="15"/>
  <c r="P31" i="15"/>
  <c r="O31" i="15"/>
  <c r="N31" i="15"/>
  <c r="M31" i="15"/>
  <c r="L31" i="15"/>
  <c r="R30" i="15"/>
  <c r="Q30" i="15"/>
  <c r="P30" i="15"/>
  <c r="O30" i="15"/>
  <c r="N30" i="15"/>
  <c r="M30" i="15"/>
  <c r="L30" i="15"/>
  <c r="R29" i="15"/>
  <c r="Q29" i="15"/>
  <c r="P29" i="15"/>
  <c r="O29" i="15"/>
  <c r="N29" i="15"/>
  <c r="M29" i="15"/>
  <c r="L29" i="15"/>
  <c r="R28" i="15"/>
  <c r="Q28" i="15"/>
  <c r="P28" i="15"/>
  <c r="O28" i="15"/>
  <c r="N28" i="15"/>
  <c r="M28" i="15"/>
  <c r="L28" i="15"/>
  <c r="R27" i="15"/>
  <c r="Q27" i="15"/>
  <c r="P27" i="15"/>
  <c r="O27" i="15"/>
  <c r="N27" i="15"/>
  <c r="M27" i="15"/>
  <c r="L27" i="15"/>
  <c r="R26" i="15"/>
  <c r="Q26" i="15"/>
  <c r="P26" i="15"/>
  <c r="O26" i="15"/>
  <c r="N26" i="15"/>
  <c r="M26" i="15"/>
  <c r="L26" i="15"/>
  <c r="J23" i="15"/>
  <c r="J46" i="15" s="1"/>
  <c r="I23" i="15"/>
  <c r="I46" i="15" s="1"/>
  <c r="H23" i="15"/>
  <c r="H46" i="15" s="1"/>
  <c r="G23" i="15"/>
  <c r="G46" i="15" s="1"/>
  <c r="F23" i="15"/>
  <c r="F46" i="15" s="1"/>
  <c r="E23" i="15"/>
  <c r="E46" i="15" s="1"/>
  <c r="D23" i="15"/>
  <c r="D46" i="15" s="1"/>
  <c r="C23" i="15"/>
  <c r="C46" i="15" s="1"/>
  <c r="A23" i="15"/>
  <c r="A46" i="15" s="1"/>
  <c r="J22" i="15"/>
  <c r="J45" i="15" s="1"/>
  <c r="I22" i="15"/>
  <c r="I45" i="15" s="1"/>
  <c r="H22" i="15"/>
  <c r="H45" i="15" s="1"/>
  <c r="G22" i="15"/>
  <c r="G45" i="15" s="1"/>
  <c r="F22" i="15"/>
  <c r="F45" i="15" s="1"/>
  <c r="E22" i="15"/>
  <c r="E45" i="15" s="1"/>
  <c r="D22" i="15"/>
  <c r="D45" i="15" s="1"/>
  <c r="C22" i="15"/>
  <c r="C45" i="15" s="1"/>
  <c r="A22" i="15"/>
  <c r="A45" i="15" s="1"/>
  <c r="J21" i="15"/>
  <c r="I21" i="15"/>
  <c r="H21" i="15"/>
  <c r="G21" i="15"/>
  <c r="F21" i="15"/>
  <c r="E21" i="15"/>
  <c r="D21" i="15"/>
  <c r="C21" i="15"/>
  <c r="A21" i="15"/>
  <c r="A44" i="15" s="1"/>
  <c r="J20" i="15"/>
  <c r="J43" i="15" s="1"/>
  <c r="I20" i="15"/>
  <c r="I43" i="15" s="1"/>
  <c r="H20" i="15"/>
  <c r="H43" i="15" s="1"/>
  <c r="G20" i="15"/>
  <c r="G43" i="15" s="1"/>
  <c r="F20" i="15"/>
  <c r="F43" i="15" s="1"/>
  <c r="E20" i="15"/>
  <c r="E43" i="15" s="1"/>
  <c r="D20" i="15"/>
  <c r="D43" i="15" s="1"/>
  <c r="C20" i="15"/>
  <c r="C43" i="15" s="1"/>
  <c r="A20" i="15"/>
  <c r="A43" i="15" s="1"/>
  <c r="J19" i="15"/>
  <c r="J42" i="15" s="1"/>
  <c r="I19" i="15"/>
  <c r="I42" i="15" s="1"/>
  <c r="H19" i="15"/>
  <c r="H42" i="15" s="1"/>
  <c r="G19" i="15"/>
  <c r="G42" i="15" s="1"/>
  <c r="F19" i="15"/>
  <c r="E19" i="15"/>
  <c r="E42" i="15" s="1"/>
  <c r="D19" i="15"/>
  <c r="D42" i="15" s="1"/>
  <c r="C19" i="15"/>
  <c r="C42" i="15" s="1"/>
  <c r="A19" i="15"/>
  <c r="A42" i="15" s="1"/>
  <c r="J18" i="15"/>
  <c r="J41" i="15" s="1"/>
  <c r="I18" i="15"/>
  <c r="I41" i="15" s="1"/>
  <c r="H18" i="15"/>
  <c r="H41" i="15" s="1"/>
  <c r="G18" i="15"/>
  <c r="G41" i="15" s="1"/>
  <c r="F18" i="15"/>
  <c r="F41" i="15" s="1"/>
  <c r="E18" i="15"/>
  <c r="E41" i="15" s="1"/>
  <c r="D18" i="15"/>
  <c r="D41" i="15" s="1"/>
  <c r="C18" i="15"/>
  <c r="C41" i="15" s="1"/>
  <c r="A18" i="15"/>
  <c r="A41" i="15" s="1"/>
  <c r="J17" i="15"/>
  <c r="I17" i="15"/>
  <c r="I40" i="15" s="1"/>
  <c r="H17" i="15"/>
  <c r="H40" i="15" s="1"/>
  <c r="G17" i="15"/>
  <c r="G40" i="15" s="1"/>
  <c r="F17" i="15"/>
  <c r="F40" i="15" s="1"/>
  <c r="E17" i="15"/>
  <c r="E40" i="15" s="1"/>
  <c r="D17" i="15"/>
  <c r="D40" i="15" s="1"/>
  <c r="C17" i="15"/>
  <c r="C40" i="15" s="1"/>
  <c r="A17" i="15"/>
  <c r="A40" i="15" s="1"/>
  <c r="J16" i="15"/>
  <c r="J39" i="15" s="1"/>
  <c r="I16" i="15"/>
  <c r="I39" i="15" s="1"/>
  <c r="H16" i="15"/>
  <c r="H39" i="15" s="1"/>
  <c r="G16" i="15"/>
  <c r="G39" i="15" s="1"/>
  <c r="F16" i="15"/>
  <c r="F39" i="15" s="1"/>
  <c r="E16" i="15"/>
  <c r="E39" i="15" s="1"/>
  <c r="D16" i="15"/>
  <c r="D39" i="15" s="1"/>
  <c r="C16" i="15"/>
  <c r="C39" i="15" s="1"/>
  <c r="A16" i="15"/>
  <c r="A39" i="15" s="1"/>
  <c r="J15" i="15"/>
  <c r="I15" i="15"/>
  <c r="I38" i="15" s="1"/>
  <c r="H15" i="15"/>
  <c r="H38" i="15" s="1"/>
  <c r="G15" i="15"/>
  <c r="G38" i="15" s="1"/>
  <c r="F15" i="15"/>
  <c r="F38" i="15" s="1"/>
  <c r="E15" i="15"/>
  <c r="E38" i="15" s="1"/>
  <c r="D15" i="15"/>
  <c r="D38" i="15" s="1"/>
  <c r="C15" i="15"/>
  <c r="C38" i="15" s="1"/>
  <c r="A15" i="15"/>
  <c r="A38" i="15" s="1"/>
  <c r="J14" i="15"/>
  <c r="J37" i="15" s="1"/>
  <c r="I14" i="15"/>
  <c r="I25" i="15" s="1"/>
  <c r="I37" i="15" s="1"/>
  <c r="H14" i="15"/>
  <c r="H25" i="15" s="1"/>
  <c r="G14" i="15"/>
  <c r="G25" i="15" s="1"/>
  <c r="G37" i="15" s="1"/>
  <c r="F14" i="15"/>
  <c r="F25" i="15" s="1"/>
  <c r="E14" i="15"/>
  <c r="E25" i="15" s="1"/>
  <c r="D14" i="15"/>
  <c r="D25" i="15" s="1"/>
  <c r="C14" i="15"/>
  <c r="C25" i="15" s="1"/>
  <c r="C37" i="15" s="1"/>
  <c r="B14" i="15"/>
  <c r="B25" i="15" s="1"/>
  <c r="B11" i="15"/>
  <c r="B9" i="15"/>
  <c r="B8" i="15"/>
  <c r="B6" i="15"/>
  <c r="J41" i="14"/>
  <c r="J42" i="14"/>
  <c r="J44" i="14"/>
  <c r="G46" i="14"/>
  <c r="F46" i="14"/>
  <c r="D46" i="14"/>
  <c r="G45" i="14"/>
  <c r="F45" i="14"/>
  <c r="D45" i="14"/>
  <c r="G44" i="14"/>
  <c r="F44" i="14"/>
  <c r="D44" i="14"/>
  <c r="I43" i="14"/>
  <c r="G43" i="14"/>
  <c r="F43" i="14"/>
  <c r="D43" i="14"/>
  <c r="G42" i="14"/>
  <c r="F42" i="14"/>
  <c r="D42" i="14"/>
  <c r="G41" i="14"/>
  <c r="F41" i="14"/>
  <c r="D41" i="14"/>
  <c r="G40" i="14"/>
  <c r="F40" i="14"/>
  <c r="D40" i="14"/>
  <c r="G39" i="14"/>
  <c r="F39" i="14"/>
  <c r="D39" i="14"/>
  <c r="G38" i="14"/>
  <c r="F38" i="14"/>
  <c r="D38" i="14"/>
  <c r="A45" i="14"/>
  <c r="A44" i="14"/>
  <c r="A42" i="14"/>
  <c r="R33" i="14"/>
  <c r="Q33" i="14"/>
  <c r="P33" i="14"/>
  <c r="O33" i="14"/>
  <c r="N33" i="14"/>
  <c r="M33" i="14"/>
  <c r="L33" i="14"/>
  <c r="R32" i="14"/>
  <c r="Q32" i="14"/>
  <c r="P32" i="14"/>
  <c r="O32" i="14"/>
  <c r="N32" i="14"/>
  <c r="M32" i="14"/>
  <c r="L32" i="14"/>
  <c r="R31" i="14"/>
  <c r="Q31" i="14"/>
  <c r="P31" i="14"/>
  <c r="O31" i="14"/>
  <c r="N31" i="14"/>
  <c r="M31" i="14"/>
  <c r="L31" i="14"/>
  <c r="R30" i="14"/>
  <c r="Q30" i="14"/>
  <c r="P30" i="14"/>
  <c r="O30" i="14"/>
  <c r="N30" i="14"/>
  <c r="M30" i="14"/>
  <c r="L30" i="14"/>
  <c r="R29" i="14"/>
  <c r="Q29" i="14"/>
  <c r="P29" i="14"/>
  <c r="O29" i="14"/>
  <c r="N29" i="14"/>
  <c r="M29" i="14"/>
  <c r="L29" i="14"/>
  <c r="R28" i="14"/>
  <c r="Q28" i="14"/>
  <c r="P28" i="14"/>
  <c r="O28" i="14"/>
  <c r="N28" i="14"/>
  <c r="M28" i="14"/>
  <c r="L28" i="14"/>
  <c r="R27" i="14"/>
  <c r="Q27" i="14"/>
  <c r="P27" i="14"/>
  <c r="O27" i="14"/>
  <c r="N27" i="14"/>
  <c r="M27" i="14"/>
  <c r="L27" i="14"/>
  <c r="R26" i="14"/>
  <c r="Q26" i="14"/>
  <c r="P26" i="14"/>
  <c r="O26" i="14"/>
  <c r="N26" i="14"/>
  <c r="M26" i="14"/>
  <c r="L26" i="14"/>
  <c r="H25" i="14"/>
  <c r="H37" i="14" s="1"/>
  <c r="G25" i="14"/>
  <c r="Q25" i="14" s="1"/>
  <c r="E25" i="14"/>
  <c r="E37" i="14" s="1"/>
  <c r="J15" i="14"/>
  <c r="J38" i="14" s="1"/>
  <c r="J16" i="14"/>
  <c r="J39" i="14" s="1"/>
  <c r="J17" i="14"/>
  <c r="J40" i="14" s="1"/>
  <c r="J18" i="14"/>
  <c r="J19" i="14"/>
  <c r="J20" i="14"/>
  <c r="J43" i="14" s="1"/>
  <c r="J21" i="14"/>
  <c r="J22" i="14"/>
  <c r="J45" i="14" s="1"/>
  <c r="J23" i="14"/>
  <c r="J46" i="14" s="1"/>
  <c r="I23" i="14"/>
  <c r="I46" i="14" s="1"/>
  <c r="H23" i="14"/>
  <c r="H46" i="14" s="1"/>
  <c r="G23" i="14"/>
  <c r="F23" i="14"/>
  <c r="E23" i="14"/>
  <c r="E46" i="14" s="1"/>
  <c r="D23" i="14"/>
  <c r="C23" i="14"/>
  <c r="C46" i="14" s="1"/>
  <c r="I22" i="14"/>
  <c r="I45" i="14" s="1"/>
  <c r="H22" i="14"/>
  <c r="H45" i="14" s="1"/>
  <c r="G22" i="14"/>
  <c r="F22" i="14"/>
  <c r="E22" i="14"/>
  <c r="E45" i="14" s="1"/>
  <c r="D22" i="14"/>
  <c r="C22" i="14"/>
  <c r="C45" i="14" s="1"/>
  <c r="I21" i="14"/>
  <c r="I44" i="14" s="1"/>
  <c r="H21" i="14"/>
  <c r="H44" i="14" s="1"/>
  <c r="G21" i="14"/>
  <c r="F21" i="14"/>
  <c r="E21" i="14"/>
  <c r="E44" i="14" s="1"/>
  <c r="D21" i="14"/>
  <c r="C21" i="14"/>
  <c r="C44" i="14" s="1"/>
  <c r="I20" i="14"/>
  <c r="H20" i="14"/>
  <c r="H43" i="14" s="1"/>
  <c r="G20" i="14"/>
  <c r="F20" i="14"/>
  <c r="E20" i="14"/>
  <c r="E43" i="14" s="1"/>
  <c r="D20" i="14"/>
  <c r="C20" i="14"/>
  <c r="C43" i="14" s="1"/>
  <c r="I19" i="14"/>
  <c r="I42" i="14" s="1"/>
  <c r="H19" i="14"/>
  <c r="H42" i="14" s="1"/>
  <c r="G19" i="14"/>
  <c r="F19" i="14"/>
  <c r="E19" i="14"/>
  <c r="E42" i="14" s="1"/>
  <c r="D19" i="14"/>
  <c r="C19" i="14"/>
  <c r="C42" i="14" s="1"/>
  <c r="I18" i="14"/>
  <c r="I41" i="14" s="1"/>
  <c r="H18" i="14"/>
  <c r="H41" i="14" s="1"/>
  <c r="G18" i="14"/>
  <c r="F18" i="14"/>
  <c r="E18" i="14"/>
  <c r="E41" i="14" s="1"/>
  <c r="D18" i="14"/>
  <c r="C18" i="14"/>
  <c r="C41" i="14" s="1"/>
  <c r="I17" i="14"/>
  <c r="I40" i="14" s="1"/>
  <c r="H17" i="14"/>
  <c r="H40" i="14" s="1"/>
  <c r="G17" i="14"/>
  <c r="F17" i="14"/>
  <c r="E17" i="14"/>
  <c r="E40" i="14" s="1"/>
  <c r="D17" i="14"/>
  <c r="C17" i="14"/>
  <c r="C40" i="14" s="1"/>
  <c r="I16" i="14"/>
  <c r="I39" i="14" s="1"/>
  <c r="H16" i="14"/>
  <c r="H39" i="14" s="1"/>
  <c r="G16" i="14"/>
  <c r="F16" i="14"/>
  <c r="E16" i="14"/>
  <c r="E39" i="14" s="1"/>
  <c r="D16" i="14"/>
  <c r="C16" i="14"/>
  <c r="C39" i="14" s="1"/>
  <c r="I15" i="14"/>
  <c r="I38" i="14" s="1"/>
  <c r="H15" i="14"/>
  <c r="H38" i="14" s="1"/>
  <c r="G15" i="14"/>
  <c r="F15" i="14"/>
  <c r="E15" i="14"/>
  <c r="E38" i="14" s="1"/>
  <c r="D15" i="14"/>
  <c r="C15" i="14"/>
  <c r="C38" i="14" s="1"/>
  <c r="J14" i="14"/>
  <c r="J37" i="14" s="1"/>
  <c r="I14" i="14"/>
  <c r="I25" i="14" s="1"/>
  <c r="I37" i="14" s="1"/>
  <c r="H14" i="14"/>
  <c r="G14" i="14"/>
  <c r="F14" i="14"/>
  <c r="F25" i="14" s="1"/>
  <c r="E14" i="14"/>
  <c r="D14" i="14"/>
  <c r="D25" i="14" s="1"/>
  <c r="C14" i="14"/>
  <c r="C25" i="14" s="1"/>
  <c r="B14" i="14"/>
  <c r="B25" i="14" s="1"/>
  <c r="A23" i="14"/>
  <c r="A46" i="14" s="1"/>
  <c r="A22" i="14"/>
  <c r="A21" i="14"/>
  <c r="A20" i="14"/>
  <c r="A43" i="14" s="1"/>
  <c r="A19" i="14"/>
  <c r="A18" i="14"/>
  <c r="A41" i="14" s="1"/>
  <c r="A17" i="14"/>
  <c r="A40" i="14" s="1"/>
  <c r="A16" i="14"/>
  <c r="A39" i="14" s="1"/>
  <c r="A15" i="14"/>
  <c r="A38" i="14" s="1"/>
  <c r="B11" i="14"/>
  <c r="B22" i="14" s="1"/>
  <c r="B45" i="14" s="1"/>
  <c r="B9" i="14"/>
  <c r="B20" i="14" s="1"/>
  <c r="B43" i="14" s="1"/>
  <c r="B8" i="14"/>
  <c r="B19" i="14" s="1"/>
  <c r="B42" i="14" s="1"/>
  <c r="B6" i="14"/>
  <c r="B23" i="14" s="1"/>
  <c r="B46" i="14" s="1"/>
  <c r="B17" i="13"/>
  <c r="B8" i="13"/>
  <c r="B9" i="13"/>
  <c r="B6" i="13"/>
  <c r="K42" i="17" l="1"/>
  <c r="L42" i="17" s="1"/>
  <c r="K43" i="17"/>
  <c r="L43" i="17" s="1"/>
  <c r="R25" i="17"/>
  <c r="H37" i="17"/>
  <c r="J48" i="17"/>
  <c r="K46" i="17"/>
  <c r="L46" i="17" s="1"/>
  <c r="K45" i="17"/>
  <c r="L45" i="17" s="1"/>
  <c r="K39" i="17"/>
  <c r="L39" i="17" s="1"/>
  <c r="F37" i="17"/>
  <c r="P25" i="17"/>
  <c r="K40" i="17"/>
  <c r="L40" i="17" s="1"/>
  <c r="Q25" i="17"/>
  <c r="G37" i="17"/>
  <c r="K38" i="17"/>
  <c r="K41" i="17"/>
  <c r="L41" i="17" s="1"/>
  <c r="S25" i="17"/>
  <c r="I37" i="17"/>
  <c r="B18" i="17"/>
  <c r="B15" i="17"/>
  <c r="B23" i="17"/>
  <c r="B20" i="17"/>
  <c r="C37" i="17"/>
  <c r="B16" i="17"/>
  <c r="D37" i="17"/>
  <c r="B17" i="17"/>
  <c r="B37" i="14"/>
  <c r="L25" i="14"/>
  <c r="C37" i="14"/>
  <c r="M25" i="14"/>
  <c r="D37" i="14"/>
  <c r="N25" i="14"/>
  <c r="F37" i="14"/>
  <c r="P25" i="14"/>
  <c r="G37" i="14"/>
  <c r="R25" i="14"/>
  <c r="B15" i="14"/>
  <c r="B38" i="14" s="1"/>
  <c r="B16" i="14"/>
  <c r="B39" i="14" s="1"/>
  <c r="B17" i="14"/>
  <c r="B40" i="14" s="1"/>
  <c r="B18" i="14"/>
  <c r="B41" i="14" s="1"/>
  <c r="B21" i="14"/>
  <c r="B44" i="14" s="1"/>
  <c r="K44" i="14" s="1"/>
  <c r="L44" i="14" s="1"/>
  <c r="B23" i="15"/>
  <c r="B46" i="15" s="1"/>
  <c r="K46" i="15" s="1"/>
  <c r="L46" i="15" s="1"/>
  <c r="B18" i="16"/>
  <c r="O25" i="14"/>
  <c r="B19" i="16"/>
  <c r="B20" i="16"/>
  <c r="K41" i="16"/>
  <c r="L41" i="16" s="1"/>
  <c r="L25" i="16"/>
  <c r="K42" i="16"/>
  <c r="L42" i="16" s="1"/>
  <c r="Q25" i="16"/>
  <c r="G37" i="16"/>
  <c r="K43" i="16"/>
  <c r="L43" i="16" s="1"/>
  <c r="K45" i="16"/>
  <c r="L45" i="16" s="1"/>
  <c r="O25" i="16"/>
  <c r="E37" i="16"/>
  <c r="P25" i="16"/>
  <c r="F37" i="16"/>
  <c r="M25" i="16"/>
  <c r="C37" i="16"/>
  <c r="R25" i="16"/>
  <c r="B15" i="16"/>
  <c r="K38" i="16" s="1"/>
  <c r="B17" i="16"/>
  <c r="K40" i="16" s="1"/>
  <c r="L40" i="16" s="1"/>
  <c r="B21" i="16"/>
  <c r="B23" i="16"/>
  <c r="K46" i="16" s="1"/>
  <c r="L46" i="16" s="1"/>
  <c r="N25" i="16"/>
  <c r="B16" i="16"/>
  <c r="K39" i="16" s="1"/>
  <c r="L39" i="16" s="1"/>
  <c r="D37" i="15"/>
  <c r="N25" i="15"/>
  <c r="L25" i="15"/>
  <c r="B37" i="15"/>
  <c r="P25" i="15"/>
  <c r="F37" i="15"/>
  <c r="R25" i="15"/>
  <c r="H37" i="15"/>
  <c r="O25" i="15"/>
  <c r="E37" i="15"/>
  <c r="B16" i="15"/>
  <c r="B39" i="15" s="1"/>
  <c r="K39" i="15" s="1"/>
  <c r="L39" i="15" s="1"/>
  <c r="B20" i="15"/>
  <c r="B43" i="15" s="1"/>
  <c r="K43" i="15" s="1"/>
  <c r="L43" i="15" s="1"/>
  <c r="B22" i="15"/>
  <c r="B45" i="15" s="1"/>
  <c r="K45" i="15" s="1"/>
  <c r="L45" i="15" s="1"/>
  <c r="M25" i="15"/>
  <c r="B18" i="15"/>
  <c r="B41" i="15" s="1"/>
  <c r="K41" i="15" s="1"/>
  <c r="L41" i="15" s="1"/>
  <c r="B15" i="15"/>
  <c r="B38" i="15" s="1"/>
  <c r="K38" i="15" s="1"/>
  <c r="L38" i="15" s="1"/>
  <c r="B17" i="15"/>
  <c r="B40" i="15" s="1"/>
  <c r="K40" i="15" s="1"/>
  <c r="L40" i="15" s="1"/>
  <c r="B19" i="15"/>
  <c r="B42" i="15" s="1"/>
  <c r="K42" i="15" s="1"/>
  <c r="L42" i="15" s="1"/>
  <c r="B21" i="15"/>
  <c r="Q25" i="15"/>
  <c r="K38" i="14"/>
  <c r="L38" i="14" s="1"/>
  <c r="K39" i="14"/>
  <c r="L39" i="14" s="1"/>
  <c r="K40" i="14"/>
  <c r="L40" i="14" s="1"/>
  <c r="K41" i="14"/>
  <c r="L41" i="14" s="1"/>
  <c r="K42" i="14"/>
  <c r="L42" i="14" s="1"/>
  <c r="K43" i="14"/>
  <c r="L43" i="14" s="1"/>
  <c r="K45" i="14"/>
  <c r="L45" i="14" s="1"/>
  <c r="K46" i="14"/>
  <c r="L46" i="14" s="1"/>
  <c r="D17" i="11"/>
  <c r="I9" i="11"/>
  <c r="D9" i="11"/>
  <c r="I8" i="11"/>
  <c r="D8" i="11"/>
  <c r="I7" i="11"/>
  <c r="D7" i="11"/>
  <c r="I6" i="11"/>
  <c r="D6" i="11"/>
  <c r="I5" i="11"/>
  <c r="D5" i="11"/>
  <c r="I4" i="11"/>
  <c r="D4" i="11"/>
  <c r="I3" i="11"/>
  <c r="D3" i="11"/>
  <c r="I2" i="11"/>
  <c r="D2" i="11"/>
  <c r="B2" i="11"/>
  <c r="K10" i="10"/>
  <c r="F10" i="10"/>
  <c r="O10" i="10" s="1"/>
  <c r="K9" i="10"/>
  <c r="F9" i="10"/>
  <c r="K8" i="10"/>
  <c r="F8" i="10"/>
  <c r="K7" i="10"/>
  <c r="F7" i="10"/>
  <c r="K6" i="10"/>
  <c r="F6" i="10"/>
  <c r="K5" i="10"/>
  <c r="Q5" i="10" s="1"/>
  <c r="Q10" i="10" s="1"/>
  <c r="Q4" i="10" s="1"/>
  <c r="F5" i="10"/>
  <c r="K4" i="10"/>
  <c r="F4" i="10"/>
  <c r="B3" i="10"/>
  <c r="F3" i="10" s="1"/>
  <c r="K3" i="9"/>
  <c r="K6" i="9" s="1"/>
  <c r="U9" i="8"/>
  <c r="V9" i="8" s="1"/>
  <c r="R9" i="8"/>
  <c r="F9" i="8"/>
  <c r="U8" i="8"/>
  <c r="V8" i="8" s="1"/>
  <c r="R8" i="8"/>
  <c r="F8" i="8"/>
  <c r="U7" i="8"/>
  <c r="V7" i="8" s="1"/>
  <c r="R7" i="8"/>
  <c r="F7" i="8"/>
  <c r="U6" i="8"/>
  <c r="V6" i="8" s="1"/>
  <c r="R6" i="8"/>
  <c r="F6" i="8"/>
  <c r="V5" i="8"/>
  <c r="U5" i="8"/>
  <c r="R5" i="8"/>
  <c r="F5" i="8"/>
  <c r="U4" i="8"/>
  <c r="V4" i="8" s="1"/>
  <c r="R4" i="8"/>
  <c r="F4" i="8"/>
  <c r="U3" i="8"/>
  <c r="V3" i="8" s="1"/>
  <c r="R3" i="8"/>
  <c r="F3" i="8"/>
  <c r="U2" i="8"/>
  <c r="V2" i="8" s="1"/>
  <c r="B2" i="8"/>
  <c r="F2" i="8" s="1"/>
  <c r="K48" i="17" l="1"/>
  <c r="L38" i="17"/>
  <c r="L48" i="17" s="1"/>
  <c r="O4" i="10"/>
  <c r="O6" i="10"/>
  <c r="O5" i="10"/>
  <c r="O3" i="10"/>
  <c r="O9" i="10"/>
  <c r="K3" i="10"/>
  <c r="O8" i="10"/>
  <c r="L38" i="16"/>
  <c r="L48" i="16" s="1"/>
  <c r="K48" i="16"/>
  <c r="O7" i="10"/>
  <c r="L48" i="15"/>
  <c r="L48" i="14"/>
  <c r="R2" i="8"/>
  <c r="V9" i="7"/>
  <c r="F9" i="7"/>
  <c r="D9" i="7"/>
  <c r="V8" i="7"/>
  <c r="F8" i="7"/>
  <c r="D8" i="7"/>
  <c r="V7" i="7"/>
  <c r="F7" i="7"/>
  <c r="D7" i="7"/>
  <c r="V6" i="7"/>
  <c r="F6" i="7"/>
  <c r="D6" i="7"/>
  <c r="V5" i="7"/>
  <c r="F5" i="7"/>
  <c r="D5" i="7"/>
  <c r="V4" i="7"/>
  <c r="F4" i="7"/>
  <c r="D4" i="7"/>
  <c r="V3" i="7"/>
  <c r="F3" i="7"/>
  <c r="D3" i="7"/>
  <c r="V2" i="7"/>
  <c r="B2" i="7"/>
  <c r="D2" i="7" s="1"/>
  <c r="N15" i="6"/>
  <c r="H12" i="6"/>
  <c r="K10" i="6"/>
  <c r="K9" i="6"/>
  <c r="P9" i="6" s="1"/>
  <c r="S9" i="6" s="1"/>
  <c r="K8" i="6"/>
  <c r="K7" i="6"/>
  <c r="K6" i="6"/>
  <c r="P6" i="6" s="1"/>
  <c r="K5" i="6"/>
  <c r="P5" i="6" s="1"/>
  <c r="S5" i="6" s="1"/>
  <c r="K4" i="6"/>
  <c r="P4" i="6" s="1"/>
  <c r="K3" i="6"/>
  <c r="E22" i="5"/>
  <c r="G22" i="5" s="1"/>
  <c r="I22" i="5" s="1"/>
  <c r="D22" i="5"/>
  <c r="C22" i="5"/>
  <c r="E19" i="5"/>
  <c r="D19" i="5"/>
  <c r="C19" i="5"/>
  <c r="E16" i="5"/>
  <c r="C16" i="5"/>
  <c r="D12" i="5"/>
  <c r="D11" i="5"/>
  <c r="H9" i="5"/>
  <c r="G9" i="5"/>
  <c r="D9" i="5"/>
  <c r="H8" i="5"/>
  <c r="G8" i="5"/>
  <c r="D8" i="5"/>
  <c r="H7" i="5"/>
  <c r="G7" i="5"/>
  <c r="D7" i="5"/>
  <c r="H6" i="5"/>
  <c r="G6" i="5"/>
  <c r="D6" i="5"/>
  <c r="H5" i="5"/>
  <c r="G5" i="5"/>
  <c r="D5" i="5"/>
  <c r="D16" i="5" s="1"/>
  <c r="G16" i="5" s="1"/>
  <c r="I16" i="5" s="1"/>
  <c r="H4" i="5"/>
  <c r="G4" i="5"/>
  <c r="D4" i="5"/>
  <c r="H3" i="5"/>
  <c r="G3" i="5"/>
  <c r="D3" i="5"/>
  <c r="H2" i="5"/>
  <c r="G2" i="5"/>
  <c r="D2" i="5"/>
  <c r="B2" i="5"/>
  <c r="G19" i="5" l="1"/>
  <c r="I19" i="5" s="1"/>
  <c r="F2" i="7"/>
  <c r="C10" i="4"/>
  <c r="D10" i="4" s="1"/>
  <c r="M11" i="4" s="1"/>
  <c r="M12" i="4" s="1"/>
  <c r="D8" i="4"/>
  <c r="D5" i="4"/>
  <c r="D4" i="4"/>
  <c r="D3" i="4"/>
  <c r="D2" i="4"/>
  <c r="J10" i="3"/>
  <c r="E8" i="3"/>
  <c r="D9" i="3" s="1"/>
  <c r="J9" i="3" s="1"/>
  <c r="D7" i="3"/>
  <c r="E7" i="3" s="1"/>
  <c r="J7" i="3" s="1"/>
  <c r="J6" i="3"/>
  <c r="J5" i="3"/>
  <c r="M4" i="3"/>
  <c r="M9" i="3" s="1"/>
  <c r="J4" i="3"/>
  <c r="M3" i="3"/>
  <c r="J3" i="3"/>
  <c r="C3" i="3"/>
  <c r="G11" i="1"/>
  <c r="F3" i="1"/>
  <c r="F4" i="1"/>
  <c r="F5" i="1"/>
  <c r="F6" i="1"/>
  <c r="F7" i="1"/>
  <c r="F8" i="1"/>
  <c r="F9" i="1"/>
  <c r="F2" i="1"/>
  <c r="M5" i="3" l="1"/>
  <c r="J8" i="3"/>
  <c r="M10" i="3"/>
  <c r="M7" i="3"/>
  <c r="M8" i="3"/>
  <c r="M6" i="3"/>
</calcChain>
</file>

<file path=xl/sharedStrings.xml><?xml version="1.0" encoding="utf-8"?>
<sst xmlns="http://schemas.openxmlformats.org/spreadsheetml/2006/main" count="612" uniqueCount="361">
  <si>
    <t>ár</t>
  </si>
  <si>
    <t>súly</t>
  </si>
  <si>
    <t>pályázat sorszáma</t>
  </si>
  <si>
    <t>sürgősség</t>
  </si>
  <si>
    <t>kockázatosság</t>
  </si>
  <si>
    <t>súlyozott index</t>
  </si>
  <si>
    <t>költségesség</t>
  </si>
  <si>
    <t>szempont</t>
  </si>
  <si>
    <t>Összeg:</t>
  </si>
  <si>
    <t>&lt;--holtverseny kezelése?</t>
  </si>
  <si>
    <t>súlyok legitimálása?--&gt;</t>
  </si>
  <si>
    <t>forrás-szómágia és 1…8 értékek egymásba való átváltása?</t>
  </si>
  <si>
    <t>&lt;--létrejön-e egy ár/teljesítmény vizsgálat?</t>
  </si>
  <si>
    <t>szómágikus Ft-adatok</t>
  </si>
  <si>
    <t>?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</si>
  <si>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6"/>
        <color rgb="FF000000"/>
        <rFont val="Times New Roman"/>
        <family val="1"/>
        <charset val="238"/>
      </rPr>
      <t>Első feltétel</t>
    </r>
  </si>
  <si>
    <r>
      <t xml:space="preserve">A kiválasztott feltétel: </t>
    </r>
    <r>
      <rPr>
        <b/>
        <u/>
        <sz val="11"/>
        <color theme="1"/>
        <rFont val="Calibri"/>
        <family val="2"/>
        <charset val="238"/>
        <scheme val="minor"/>
      </rPr>
      <t>Minél több élet megmentése (nem törődve az „alany” életkorával)</t>
    </r>
    <r>
      <rPr>
        <sz val="11"/>
        <color theme="1"/>
        <rFont val="Calibri"/>
        <family val="2"/>
        <charset val="238"/>
        <scheme val="minor"/>
      </rPr>
      <t>. Ez alapján a sorrend a következő (elköltendő összeg: 16.5 millió forint):</t>
    </r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</si>
  <si>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4. pályázat – 6.5 millió forint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</si>
  <si>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3. pályázat – 5.2 millió forint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</si>
  <si>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2. pályázat – 2.4 millió forint</t>
    </r>
  </si>
  <si>
    <t>Ebben az esetben „csak” 3 pontot tudtam kiválasztani a lehetőségek közül, mert a fennmaradó keret már nem tette lehetővé további pontok kiválasztását.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</si>
  <si>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>Fennmaradó összeg: 2.4 millió forint.</t>
    </r>
  </si>
  <si>
    <r>
      <t>2.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6"/>
        <color rgb="FF000000"/>
        <rFont val="Times New Roman"/>
        <family val="1"/>
        <charset val="238"/>
      </rPr>
      <t>Második feltétel</t>
    </r>
  </si>
  <si>
    <r>
      <t xml:space="preserve">A kiválasztott feltétel: </t>
    </r>
    <r>
      <rPr>
        <b/>
        <u/>
        <sz val="11"/>
        <color theme="1"/>
        <rFont val="Calibri"/>
        <family val="2"/>
        <charset val="238"/>
        <scheme val="minor"/>
      </rPr>
      <t>Olyan pályázatok támogatása, amelyek a legtöbb emberéletet érinthetik</t>
    </r>
    <r>
      <rPr>
        <sz val="11"/>
        <color theme="1"/>
        <rFont val="Calibri"/>
        <family val="2"/>
        <charset val="238"/>
        <scheme val="minor"/>
      </rPr>
      <t>. Ez alapján a sorrend a következő (elköltendő összeg: 16.5 millió forint):</t>
    </r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</si>
  <si>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8 pályázat – 7.2 millió forint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</si>
  <si>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7. pályázat – 6.1 millió forint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</si>
  <si>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2. pályázat – 2,4 millió forint</t>
    </r>
  </si>
  <si>
    <t>Ebben az esetben is „csak” 3 pályázat elfogadására volt lehetőség.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</si>
  <si>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>Fennmaradó összeg: 0.8 millió forint.</t>
    </r>
  </si>
  <si>
    <r>
      <t>3.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6"/>
        <color rgb="FF000000"/>
        <rFont val="Times New Roman"/>
        <family val="1"/>
        <charset val="238"/>
      </rPr>
      <t>A két feltétel „összefésülése”</t>
    </r>
  </si>
  <si>
    <t>Ebben az esetben megpróbáltam érvényesíteni mind a két nézetet a pályázatok elbírálásában. Ez alapján a következő sorrend jött ki (elköltendő összeg: 16.5 millió forint):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</si>
  <si>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8. pályázat – 7.2 millió forint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</si>
  <si>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4. pályázat – 6.5 millió forint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</si>
  <si>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>Fennmaradó összeg: 0.4 millió forint.</t>
    </r>
  </si>
  <si>
    <t>Ebben az esetben az elfogadott pályázatoknak „hosszútávú” következményei is vannak a 8. pályázat miatt, ám a 4. illetve a 2. pályázat miatt „rövidtávon” is kimutatható pozitív következményei lesznek.</t>
  </si>
  <si>
    <t>&lt;-- 2. attribútum</t>
  </si>
  <si>
    <t>&lt;--mit jelent az aggregálás matematikailag?</t>
  </si>
  <si>
    <t>&lt;--alternatív megoldások versenyéhez attribútum?</t>
  </si>
  <si>
    <t>pl. minél kevesebb a maradványösszeg, annál jobb?</t>
  </si>
  <si>
    <t>Pályázat</t>
  </si>
  <si>
    <t>Költség (eFT)</t>
  </si>
  <si>
    <t>Emberszám</t>
  </si>
  <si>
    <t>Indirekt emberszám</t>
  </si>
  <si>
    <t>Jelenlegi életkor (év)</t>
  </si>
  <si>
    <t>Várható életkor (év)</t>
  </si>
  <si>
    <t>Életmentő</t>
  </si>
  <si>
    <t>Ha igen, halálozási arány</t>
  </si>
  <si>
    <t>Számított érték:</t>
  </si>
  <si>
    <t>Rangsor:</t>
  </si>
  <si>
    <t>Maradék költség:</t>
  </si>
  <si>
    <t>1.</t>
  </si>
  <si>
    <t>2.</t>
  </si>
  <si>
    <t>3.</t>
  </si>
  <si>
    <t>4.</t>
  </si>
  <si>
    <t>5.</t>
  </si>
  <si>
    <t>6.</t>
  </si>
  <si>
    <t>7.</t>
  </si>
  <si>
    <t>8.</t>
  </si>
  <si>
    <t>Összes költség (eFT)</t>
  </si>
  <si>
    <t>Magyarországi kórházak száma (kb)</t>
  </si>
  <si>
    <t>43: átlagéletkor M.o-n</t>
  </si>
  <si>
    <t>75: várható életkor M.o-n</t>
  </si>
  <si>
    <t>0,2: nem</t>
  </si>
  <si>
    <t>1: nem beszámolható</t>
  </si>
  <si>
    <t>Végén:</t>
  </si>
  <si>
    <t>0.5: időt nyer/valószínűleg</t>
  </si>
  <si>
    <t>0,33: CDC</t>
  </si>
  <si>
    <t>1: igen</t>
  </si>
  <si>
    <t>0,14: WHO</t>
  </si>
  <si>
    <t>M.O-i átlagadatokkal dolgozok, ahol lehet</t>
  </si>
  <si>
    <t>Attribútum-javaslat: pl. Minél több attribútum, annál jobb megoldás és/vagy minél komplexebb számított érték, annál jobb megoldás és/vagy minél kevesebb maradványösszeg, annál jobb megoldás…</t>
  </si>
  <si>
    <t>pályázat ID</t>
  </si>
  <si>
    <t>fő</t>
  </si>
  <si>
    <t>költség/fő</t>
  </si>
  <si>
    <t>összköltség</t>
  </si>
  <si>
    <t>kor</t>
  </si>
  <si>
    <t>nő</t>
  </si>
  <si>
    <t>férfi</t>
  </si>
  <si>
    <t>lehetőség</t>
  </si>
  <si>
    <t>veszély</t>
  </si>
  <si>
    <t>erősség</t>
  </si>
  <si>
    <t>gyengeség</t>
  </si>
  <si>
    <t>döntés</t>
  </si>
  <si>
    <t>indoklás</t>
  </si>
  <si>
    <t>keret</t>
  </si>
  <si>
    <t>52 fölött</t>
  </si>
  <si>
    <t>18 főből valamennyi meggyógyulhat</t>
  </si>
  <si>
    <t>mindnek komoly problémái vannak, könnyen lehet, hogy lesz számukra mellékes betegség</t>
  </si>
  <si>
    <t>valamennyi gyógyult személy</t>
  </si>
  <si>
    <t>50+os mind</t>
  </si>
  <si>
    <t>+1 főt közülük random kiválasztva, emrt belefér még a keretbe</t>
  </si>
  <si>
    <t>jobb társadalmi lehetősgek a gyerek számára</t>
  </si>
  <si>
    <t>ha elüti másnap egy autó akkor hiába az egész</t>
  </si>
  <si>
    <t>18 évesen előtte az élet lehetőségekkel</t>
  </si>
  <si>
    <t>nincs életbevágó egészségügyi károsodás, csak szépséghiba</t>
  </si>
  <si>
    <t>yes</t>
  </si>
  <si>
    <t>lehetőség a gyerek számára és azok számára kik életét majd ő teheti jobbá</t>
  </si>
  <si>
    <t>legalább még 6 évet élne</t>
  </si>
  <si>
    <t>lehet, hogy legfeljebb 6 év múlva meghal, vagy előjön más lehetőség más betegségre, áttétre vonatkozóan</t>
  </si>
  <si>
    <t>6 plusz év</t>
  </si>
  <si>
    <t>kora, komoly betegség amivel 1 évet élne így</t>
  </si>
  <si>
    <t>80%os túlélési esély legalább +6 évre</t>
  </si>
  <si>
    <t>20% az esély, hogy így is meghal</t>
  </si>
  <si>
    <t>10 évesen előtte az élet lehetőségekkel</t>
  </si>
  <si>
    <t>16 éves koráig garantált 80%-al az életlehetősége</t>
  </si>
  <si>
    <t>x1</t>
  </si>
  <si>
    <t>y1</t>
  </si>
  <si>
    <t>x11</t>
  </si>
  <si>
    <t>x12</t>
  </si>
  <si>
    <t>hosszútávú felújítás, sokáig nem kell rá többet költeni, mind a jelen mind a jövő generáció orvosainak megéri valamint a beteg is jobb ellátást kap egy pihentebb orvostól</t>
  </si>
  <si>
    <t>ha kigyullad az épület akkor hiába az egész</t>
  </si>
  <si>
    <t>hosszútávú</t>
  </si>
  <si>
    <t>nem biztos, hogy javul tőle az orvos teljesítménye</t>
  </si>
  <si>
    <t>x2</t>
  </si>
  <si>
    <t>y2</t>
  </si>
  <si>
    <t>x21</t>
  </si>
  <si>
    <t>x22</t>
  </si>
  <si>
    <t>Az orvosoknak megéri valamint a beteg is jobb ellátást kap egy pihentebb orvostól</t>
  </si>
  <si>
    <t>régi probllémán segít</t>
  </si>
  <si>
    <t>-</t>
  </si>
  <si>
    <t>lehet, hogy a kórház kap orvosi/eszközbéli/kapcsolati tőkét</t>
  </si>
  <si>
    <t>lehet, hogy a jelenelegi jó orvosokat is elszívják, vagy akár semmit se kap</t>
  </si>
  <si>
    <t>nagynevű intézménnyle kapcsolatápolás</t>
  </si>
  <si>
    <t>bizonytalan a kimenetele</t>
  </si>
  <si>
    <t>sok beteget szűrhetünk ki a jövőben, javulhat a hatékonyság és az ellátás minősége is</t>
  </si>
  <si>
    <t>leég a kórház akkor hiába az egész</t>
  </si>
  <si>
    <t>hosszútávú befektetés</t>
  </si>
  <si>
    <t>más kórházban van ilyen készülék, nem biztos, hogy ide is kell</t>
  </si>
  <si>
    <t>hosszútávú beektetés és nem pontosan meghatározható, hogy hány ember életminőségén javít a mindennap betérő betegektől számolva az orvosokon át, hogy nem kell vánri máshonann eredményekre, stb</t>
  </si>
  <si>
    <t>egy új járvány megakadályozása</t>
  </si>
  <si>
    <t>elkésett intézkedés esetén hiába, túlzott aggódás esetén pedig pénzkidobás</t>
  </si>
  <si>
    <t>ha megfékezünk egy új járványt a környező régiók lakosságát is biztosítjuk</t>
  </si>
  <si>
    <t>csak a szűrést fedezzük, kezelést nem</t>
  </si>
  <si>
    <t>nem csak a megye lakosságát de a környező megyéket is érinti a dolog, így több mint 130000 emberre van kihatással, és akár azok utódaira is, valamint enm elhanyagolható gazdasági vonzata is van a megyét tekintve</t>
  </si>
  <si>
    <t>végösszege</t>
  </si>
  <si>
    <t>maradék:</t>
  </si>
  <si>
    <t>Javasolt saját értékeket kiemelő attribútum: pl.</t>
  </si>
  <si>
    <t>Minél több adategységet használt fel a feladat szövegéből egy megoldás, annál jobb?!</t>
  </si>
  <si>
    <t>Kritika: minél algoritmizálhatóbbegy megoldás, annál jobb?!</t>
  </si>
  <si>
    <t>teljes költség</t>
  </si>
  <si>
    <t>hány emberen segít</t>
  </si>
  <si>
    <t>egy főre jutó költség</t>
  </si>
  <si>
    <t>közvetlen életveszély kérdése</t>
  </si>
  <si>
    <t>komfort érzet</t>
  </si>
  <si>
    <t>emberre juto komfort</t>
  </si>
  <si>
    <t>Fennmaradó költség</t>
  </si>
  <si>
    <t>1. csípő műtét</t>
  </si>
  <si>
    <t>2. születési rendellenesség</t>
  </si>
  <si>
    <t>3. 51 éves nő operációja</t>
  </si>
  <si>
    <t>4. Kislány rák kezelése</t>
  </si>
  <si>
    <t>5. kezdő orvosok pihenése</t>
  </si>
  <si>
    <t>6. Főorvos utazása</t>
  </si>
  <si>
    <t>7. rák korai felismerése</t>
  </si>
  <si>
    <t>8. TBC szűrés</t>
  </si>
  <si>
    <t>max. egy főre</t>
  </si>
  <si>
    <t>min. egy főre</t>
  </si>
  <si>
    <t>Döntési szempontok:</t>
  </si>
  <si>
    <t>Közvetlenül a legtöbb ember segítése</t>
  </si>
  <si>
    <t>össz költség</t>
  </si>
  <si>
    <t>Fennmaradó összeg:</t>
  </si>
  <si>
    <t>Ha lehet bontani az 1 es pályázatot, akkor ők ha megkapják a fennmaradó összeget az 3 ember ellátására elég</t>
  </si>
  <si>
    <t>költség:</t>
  </si>
  <si>
    <t>Ez a megoldás segít közvetlen módon a legtöbb emberen.</t>
  </si>
  <si>
    <t>Legkisebb fennmaradó összeg</t>
  </si>
  <si>
    <t>Közvetett módon a legtöbb embere segítése</t>
  </si>
  <si>
    <t>Saját megoldás előnyét kiemelő attribútum: pl. minél kisebb a maradvány, annál jobb?!</t>
  </si>
  <si>
    <t>Kritika: algoritmizáltság foka?</t>
  </si>
  <si>
    <t>Elsődleges szűrők:</t>
  </si>
  <si>
    <t>Másodlagos szűrők:</t>
  </si>
  <si>
    <t>Pályázati sorszám</t>
  </si>
  <si>
    <t>1. szempont</t>
  </si>
  <si>
    <t>2. szempont</t>
  </si>
  <si>
    <t>3. szempont</t>
  </si>
  <si>
    <t>4. szempont</t>
  </si>
  <si>
    <t>5. szempont</t>
  </si>
  <si>
    <t>6. szempont</t>
  </si>
  <si>
    <t>7. szempont</t>
  </si>
  <si>
    <t>Összpont:</t>
  </si>
  <si>
    <t>8. szempont - kor</t>
  </si>
  <si>
    <t>9. szempont - hány emberen segíthet?</t>
  </si>
  <si>
    <t>KÖLTSÉGES! (jóval átlagon felül)</t>
  </si>
  <si>
    <t>1 - fiatal, 0 - idős</t>
  </si>
  <si>
    <t>1 - több, 0 - egy</t>
  </si>
  <si>
    <t>átlag:</t>
  </si>
  <si>
    <t>(M FT)</t>
  </si>
  <si>
    <t>korrigált 5. szempont: költség &lt;= 6.1 M Ft</t>
  </si>
  <si>
    <t>Pályázatok összköltsége:</t>
  </si>
  <si>
    <t>Sürgősség</t>
  </si>
  <si>
    <t>Beteg? (v orvos)</t>
  </si>
  <si>
    <t>Idős?</t>
  </si>
  <si>
    <t>Össz</t>
  </si>
  <si>
    <t>1. csípő műtétek</t>
  </si>
  <si>
    <t>ez a megoldás</t>
  </si>
  <si>
    <t>Össz keret</t>
  </si>
  <si>
    <t>Index</t>
  </si>
  <si>
    <t>Teljes költség</t>
  </si>
  <si>
    <t>Pontozás</t>
  </si>
  <si>
    <t>Fő</t>
  </si>
  <si>
    <t>Fő / költés</t>
  </si>
  <si>
    <t>Prioritás</t>
  </si>
  <si>
    <t>Halálos?</t>
  </si>
  <si>
    <t>Kor</t>
  </si>
  <si>
    <t>Élettartam növelése</t>
  </si>
  <si>
    <t>Várható élettartam</t>
  </si>
  <si>
    <t>Szumma</t>
  </si>
  <si>
    <t>Átlag pontszám</t>
  </si>
  <si>
    <t>+</t>
  </si>
  <si>
    <t>x</t>
  </si>
  <si>
    <t>mennyire garantált, hogy segít az eljárás 1-10</t>
  </si>
  <si>
    <t>életminőség javítása, 1-10</t>
  </si>
  <si>
    <t>érintettek életkora</t>
  </si>
  <si>
    <t>teljes-e a felépülés</t>
  </si>
  <si>
    <t>Megkapja?</t>
  </si>
  <si>
    <t>Indoklás</t>
  </si>
  <si>
    <t>52+</t>
  </si>
  <si>
    <t>A pályázati keret szinte teljes összegét lefedi az összes személy kezelése, nincsenek életveszélyben a személyek, így nem kapják meg a pályázatot</t>
  </si>
  <si>
    <t>Teljes összeg:</t>
  </si>
  <si>
    <t>Rendelkezésre álló összeg:</t>
  </si>
  <si>
    <t>A műtét alacsony költsége miatt a keretbe belefér a műtét, teljes a felépülés és jobb életminőséget biztosít a műtét</t>
  </si>
  <si>
    <t>A szívbetegséggel rendelkező nő az életkora miatt és amiatt, hogy nem teljes a felépülés nem kapja meg a pályázatot</t>
  </si>
  <si>
    <t>A kislány az életkora miatt nagy prioritást élvez, ugyanakkor nem biztosít a műtét a teljes felépülést és rendkívül költséges így nem kapja meg az összeget</t>
  </si>
  <si>
    <t xml:space="preserve">Maradék: </t>
  </si>
  <si>
    <t>Fontos a kezdő orvosok kényelme, ugyanis egyre kevesebb orvos van, ugyanakkor nem ment életet ha támogatnánk, így kisebb prioritást élvez a tétel, nem kapja meg</t>
  </si>
  <si>
    <t>Nem garantált a sikeresség, közvetve járulna hozzá a kórház jobbá tételéhez. Nem tisztázták, hogy a támogatás és segítség mire terjed ki pontosan, így más esetek élveznek prioritást</t>
  </si>
  <si>
    <t>A berendezés hosszú távon nagyon sok ember életét mentené meg, így támogatjuk</t>
  </si>
  <si>
    <t>Egy járvány kialakulását akadályozhatja meg, nem is beszélve arról hogy a fertőzötteket diagnosztizálják és kezelhetik a támogatásból kapott összeggel</t>
  </si>
  <si>
    <t>szempontok</t>
  </si>
  <si>
    <t>pályázatok</t>
  </si>
  <si>
    <t>bizonytalan</t>
  </si>
  <si>
    <t>sok</t>
  </si>
  <si>
    <t>nincs hatás</t>
  </si>
  <si>
    <t>nincs határ</t>
  </si>
  <si>
    <t>sok éveket adhatna</t>
  </si>
  <si>
    <t>költség</t>
  </si>
  <si>
    <t>Mennyi emberen lehet segíteni?</t>
  </si>
  <si>
    <t>ezt nem lehet pontosan megbecsülni</t>
  </si>
  <si>
    <t>Sürgösség</t>
  </si>
  <si>
    <t>nem sürgős</t>
  </si>
  <si>
    <t>sürgős</t>
  </si>
  <si>
    <t>Én az alábbi szempontok alapján a következőeket fogadnám el.</t>
  </si>
  <si>
    <t>élettartam növelése</t>
  </si>
  <si>
    <t>100 évet el mondjuk egy ember</t>
  </si>
  <si>
    <t>elkölthető összeg - adott pályázat</t>
  </si>
  <si>
    <t>ezzel azt lehet szűrni, hogy esetleg még másoknak is jutha e</t>
  </si>
  <si>
    <t>Pályázatok</t>
  </si>
  <si>
    <t>Teljes költség (Ft)</t>
  </si>
  <si>
    <t>Hány emberen segít az adott eljárás? (db)</t>
  </si>
  <si>
    <t>Egy főre jutó költség (Ft/fő)</t>
  </si>
  <si>
    <t>1. Szempont</t>
  </si>
  <si>
    <t>2. Szempont</t>
  </si>
  <si>
    <t>3. Szempont</t>
  </si>
  <si>
    <t>4. Szempont</t>
  </si>
  <si>
    <t>Szempontok összegzése</t>
  </si>
  <si>
    <t>Sorrend</t>
  </si>
  <si>
    <t>1. Csípő protézis beültetése</t>
  </si>
  <si>
    <t>2. Születési rendellenesség</t>
  </si>
  <si>
    <t>3. 51 éves nő szív operációja</t>
  </si>
  <si>
    <t>4. 10 éves kislány súlyos rák kezelése</t>
  </si>
  <si>
    <t>5. Kezdő orvosok nyugodt pihenése</t>
  </si>
  <si>
    <t>6. Főorvos konferenciára való utazása</t>
  </si>
  <si>
    <t>7. Új berendezés rák korai felismerésére</t>
  </si>
  <si>
    <t>Szempontok</t>
  </si>
  <si>
    <t>Elnyert pályázatok</t>
  </si>
  <si>
    <t>Ára</t>
  </si>
  <si>
    <t>Fontos volt a döntésben az is, hogy erkölcsi szempontból nem tekintettem az adott pályázatot, valamint az is, hogy a lehető legtöbb (támogatásra szánt) pénzt felhasználjam!</t>
  </si>
  <si>
    <t>1. Hány ember tudunk segíteni?</t>
  </si>
  <si>
    <t>Az első pályázat a 8-as</t>
  </si>
  <si>
    <t>2. Mennyire tudunk segíteni az embereken?</t>
  </si>
  <si>
    <t>Második pályázat a 7-es</t>
  </si>
  <si>
    <t>Az 5-ös pályázattal már túllépnénk a rendelkezésre álló keretet, így a 2-es pályázat kap még támogatást.</t>
  </si>
  <si>
    <t>3. Mennyire sürgős?</t>
  </si>
  <si>
    <t>Harmadik pályázat a 2-es</t>
  </si>
  <si>
    <t>4. Prioritás</t>
  </si>
  <si>
    <t>Rendelkezésre álló keret (Ft)</t>
  </si>
  <si>
    <t>Fennmaradó keret a pénzosztások után</t>
  </si>
  <si>
    <t>Kuratóriumi Döntési Javaslat</t>
  </si>
  <si>
    <t>A döntési eljárásban az elsődleges szempontnak a döntés megtámadhatatlanságát tekintem. Mivel a szakmai vitákban esetlegesen elhangzó érvelések a széles publikum számára – megfelelő szakképzettség hiányában – hozzáférhetetlenek, így a laikusok által leginkább támogatható döntés meghozatala a célszerű, szemben akár a szakmailag jobban megindokolható megoldásokkal.</t>
  </si>
  <si>
    <t>A közéletre gyakorolt hatást az adott témára vonatkozó google keresés találatainak számával jellemzem, aztán kiszámítom az egy forintra eső találatok számát.</t>
  </si>
  <si>
    <t>Kulcsszó</t>
  </si>
  <si>
    <t>Találatok</t>
  </si>
  <si>
    <t>Költség</t>
  </si>
  <si>
    <t>Média penetráció határköltség</t>
  </si>
  <si>
    <t>IV.</t>
  </si>
  <si>
    <t>rákos kislány</t>
  </si>
  <si>
    <t>1,420,000</t>
  </si>
  <si>
    <t>I.</t>
  </si>
  <si>
    <t>csípő protézis beültetés</t>
  </si>
  <si>
    <t>31,200</t>
  </si>
  <si>
    <t>V.</t>
  </si>
  <si>
    <t>szolgálati lakás orvosoknak</t>
  </si>
  <si>
    <t>140,000</t>
  </si>
  <si>
    <t>VI.</t>
  </si>
  <si>
    <t>onkológiai konferencia</t>
  </si>
  <si>
    <t>119,000</t>
  </si>
  <si>
    <t>VII.</t>
  </si>
  <si>
    <t>onkológiai szűrés</t>
  </si>
  <si>
    <t>103,000</t>
  </si>
  <si>
    <t>III.</t>
  </si>
  <si>
    <t>szív operáció</t>
  </si>
  <si>
    <t>85,400</t>
  </si>
  <si>
    <t>II.</t>
  </si>
  <si>
    <t>kamasz lány rendellenesség</t>
  </si>
  <si>
    <t>28,300</t>
  </si>
  <si>
    <t>VIII.</t>
  </si>
  <si>
    <t>tbc szűrés</t>
  </si>
  <si>
    <t>35,500</t>
  </si>
  <si>
    <t>Objektumok = megoldások</t>
  </si>
  <si>
    <t>irány</t>
  </si>
  <si>
    <t>*ofn_1</t>
  </si>
  <si>
    <t>*ofn_2</t>
  </si>
  <si>
    <t>*ofn_3</t>
  </si>
  <si>
    <t>*ofn_4</t>
  </si>
  <si>
    <t>*ofn_5</t>
  </si>
  <si>
    <t>*ofn_6</t>
  </si>
  <si>
    <t>*ofn_7</t>
  </si>
  <si>
    <t>*ofn_8</t>
  </si>
  <si>
    <t>*ofn_9</t>
  </si>
  <si>
    <t>*ofn_10</t>
  </si>
  <si>
    <t>*ofn_11</t>
  </si>
  <si>
    <t>egyeb1</t>
  </si>
  <si>
    <t>egyeb2</t>
  </si>
  <si>
    <t>egyeb3</t>
  </si>
  <si>
    <t>egyeb4</t>
  </si>
  <si>
    <t>egyeb5</t>
  </si>
  <si>
    <t>egyeb6</t>
  </si>
  <si>
    <t>egyeb7</t>
  </si>
  <si>
    <t>egyeb8</t>
  </si>
  <si>
    <t>egyeb9</t>
  </si>
  <si>
    <t>egyeb10</t>
  </si>
  <si>
    <t>A1=képletek/függvények/műveletek/... Száma</t>
  </si>
  <si>
    <t>*ofn_12</t>
  </si>
  <si>
    <t>...</t>
  </si>
  <si>
    <t>&lt;--1. attribútum</t>
  </si>
  <si>
    <t>p</t>
  </si>
  <si>
    <t>A1</t>
  </si>
  <si>
    <t>A2</t>
  </si>
  <si>
    <t>Y</t>
  </si>
  <si>
    <t>sorszám</t>
  </si>
  <si>
    <t>rnd1</t>
  </si>
  <si>
    <t>rnd2</t>
  </si>
  <si>
    <t>hahaha</t>
  </si>
  <si>
    <t>&lt;---3 művelet</t>
  </si>
  <si>
    <t>művelet</t>
  </si>
  <si>
    <t>vegso sorszam</t>
  </si>
  <si>
    <t>hátizsák-pakolás</t>
  </si>
  <si>
    <t>hátizsák-problémaként értelmezhető-e</t>
  </si>
  <si>
    <t>0::1&gt;0</t>
  </si>
  <si>
    <t>minél kevesebb a maradvány, annál jobb</t>
  </si>
  <si>
    <t>A2 =?=A3</t>
  </si>
  <si>
    <t>van-e szubjektív súlyozási lehetőség</t>
  </si>
  <si>
    <t>van-e objektív súlyozási lehetőség</t>
  </si>
  <si>
    <t>tananyag</t>
  </si>
  <si>
    <t>ár/teljesítmény index van-e? (árelőny)</t>
  </si>
  <si>
    <t>attribútumok száma</t>
  </si>
  <si>
    <t>ktg adat része-e</t>
  </si>
  <si>
    <t>Y0</t>
  </si>
  <si>
    <t>lépcső</t>
  </si>
  <si>
    <t>L1-L2</t>
  </si>
  <si>
    <t>L8-L9</t>
  </si>
  <si>
    <t>Becslés</t>
  </si>
  <si>
    <t>elteres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</si>
</sst>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28"/>
      <color theme="1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28"/>
      <color theme="1"/>
      <name val="Calibri Light"/>
      <family val="2"/>
      <charset val="238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1C1C1C"/>
        <bgColor rgb="FF1C1C1C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0" fontId="15" fillId="0" borderId="0"/>
    <xf numFmtId="0" fontId="19" fillId="6" borderId="2" applyNumberFormat="0" applyAlignment="0" applyProtection="0"/>
    <xf numFmtId="0" fontId="20" fillId="5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4" fillId="0" borderId="0"/>
    <xf numFmtId="0" fontId="25" fillId="11" borderId="0" applyNumberFormat="0" applyBorder="0" applyAlignment="0" applyProtection="0"/>
    <xf numFmtId="0" fontId="3" fillId="0" borderId="0"/>
    <xf numFmtId="0" fontId="31" fillId="0" borderId="0" applyNumberFormat="0" applyFill="0" applyBorder="0" applyAlignment="0" applyProtection="0"/>
  </cellStyleXfs>
  <cellXfs count="15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7" fillId="0" borderId="0" xfId="0" applyFont="1"/>
    <xf numFmtId="0" fontId="7" fillId="2" borderId="0" xfId="0" applyFont="1" applyFill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 indent="7"/>
    </xf>
    <xf numFmtId="0" fontId="7" fillId="0" borderId="0" xfId="0" applyFont="1" applyAlignment="1">
      <alignment wrapText="1"/>
    </xf>
    <xf numFmtId="0" fontId="5" fillId="0" borderId="0" xfId="1"/>
    <xf numFmtId="1" fontId="5" fillId="0" borderId="0" xfId="1" applyNumberFormat="1"/>
    <xf numFmtId="0" fontId="14" fillId="0" borderId="0" xfId="1" applyFont="1"/>
    <xf numFmtId="0" fontId="16" fillId="7" borderId="0" xfId="2" applyFont="1" applyFill="1" applyAlignment="1">
      <alignment horizontal="center" vertical="center"/>
    </xf>
    <xf numFmtId="0" fontId="16" fillId="7" borderId="0" xfId="2" applyFont="1" applyFill="1" applyAlignment="1">
      <alignment horizontal="center" vertical="center" wrapText="1"/>
    </xf>
    <xf numFmtId="0" fontId="16" fillId="7" borderId="0" xfId="2" applyFont="1" applyFill="1" applyAlignment="1">
      <alignment vertical="center" wrapText="1"/>
    </xf>
    <xf numFmtId="0" fontId="16" fillId="7" borderId="0" xfId="2" applyFont="1" applyFill="1" applyAlignment="1">
      <alignment vertical="center"/>
    </xf>
    <xf numFmtId="0" fontId="15" fillId="0" borderId="0" xfId="2" applyAlignment="1">
      <alignment vertical="center"/>
    </xf>
    <xf numFmtId="0" fontId="15" fillId="0" borderId="0" xfId="2" applyAlignment="1">
      <alignment horizontal="center" vertical="center"/>
    </xf>
    <xf numFmtId="0" fontId="15" fillId="0" borderId="0" xfId="2" applyAlignment="1">
      <alignment vertical="center" wrapText="1"/>
    </xf>
    <xf numFmtId="0" fontId="15" fillId="0" borderId="0" xfId="2" applyAlignment="1">
      <alignment wrapText="1"/>
    </xf>
    <xf numFmtId="0" fontId="15" fillId="0" borderId="0" xfId="2"/>
    <xf numFmtId="0" fontId="17" fillId="0" borderId="0" xfId="2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6" borderId="3" xfId="3" applyBorder="1"/>
    <xf numFmtId="0" fontId="20" fillId="5" borderId="4" xfId="4" applyBorder="1" applyAlignment="1">
      <alignment wrapText="1"/>
    </xf>
    <xf numFmtId="0" fontId="20" fillId="5" borderId="0" xfId="4" applyAlignment="1">
      <alignment horizontal="center" vertical="center"/>
    </xf>
    <xf numFmtId="0" fontId="21" fillId="3" borderId="0" xfId="5"/>
    <xf numFmtId="0" fontId="22" fillId="4" borderId="4" xfId="6" applyBorder="1"/>
    <xf numFmtId="0" fontId="20" fillId="5" borderId="0" xfId="4"/>
    <xf numFmtId="0" fontId="20" fillId="5" borderId="0" xfId="4" applyAlignment="1">
      <alignment horizontal="center"/>
    </xf>
    <xf numFmtId="0" fontId="22" fillId="4" borderId="0" xfId="6"/>
    <xf numFmtId="0" fontId="20" fillId="5" borderId="0" xfId="4" applyAlignment="1">
      <alignment wrapText="1"/>
    </xf>
    <xf numFmtId="0" fontId="20" fillId="5" borderId="0" xfId="4" applyAlignment="1">
      <alignment horizontal="center" vertical="center" wrapText="1"/>
    </xf>
    <xf numFmtId="0" fontId="4" fillId="0" borderId="0" xfId="7"/>
    <xf numFmtId="0" fontId="4" fillId="0" borderId="5" xfId="7" applyBorder="1"/>
    <xf numFmtId="0" fontId="4" fillId="0" borderId="6" xfId="7" applyBorder="1"/>
    <xf numFmtId="0" fontId="4" fillId="0" borderId="7" xfId="7" applyBorder="1"/>
    <xf numFmtId="0" fontId="23" fillId="0" borderId="8" xfId="7" applyFont="1" applyBorder="1"/>
    <xf numFmtId="0" fontId="23" fillId="0" borderId="9" xfId="7" applyFont="1" applyBorder="1"/>
    <xf numFmtId="0" fontId="23" fillId="0" borderId="0" xfId="7" applyFont="1"/>
    <xf numFmtId="0" fontId="23" fillId="0" borderId="10" xfId="7" applyFont="1" applyBorder="1"/>
    <xf numFmtId="0" fontId="4" fillId="0" borderId="10" xfId="7" applyBorder="1"/>
    <xf numFmtId="0" fontId="4" fillId="0" borderId="8" xfId="7" applyBorder="1"/>
    <xf numFmtId="0" fontId="4" fillId="0" borderId="9" xfId="7" applyBorder="1"/>
    <xf numFmtId="0" fontId="4" fillId="8" borderId="10" xfId="7" applyFill="1" applyBorder="1"/>
    <xf numFmtId="0" fontId="4" fillId="9" borderId="8" xfId="7" applyFill="1" applyBorder="1"/>
    <xf numFmtId="0" fontId="4" fillId="10" borderId="0" xfId="7" applyFill="1"/>
    <xf numFmtId="0" fontId="4" fillId="8" borderId="0" xfId="7" applyFill="1"/>
    <xf numFmtId="0" fontId="4" fillId="0" borderId="11" xfId="7" applyBorder="1"/>
    <xf numFmtId="0" fontId="4" fillId="0" borderId="12" xfId="7" applyBorder="1"/>
    <xf numFmtId="0" fontId="4" fillId="0" borderId="13" xfId="7" applyBorder="1"/>
    <xf numFmtId="0" fontId="4" fillId="0" borderId="0" xfId="7" applyAlignment="1">
      <alignment horizontal="right"/>
    </xf>
    <xf numFmtId="0" fontId="4" fillId="0" borderId="0" xfId="7" applyAlignment="1">
      <alignment horizontal="left" wrapText="1"/>
    </xf>
    <xf numFmtId="0" fontId="4" fillId="0" borderId="0" xfId="7" applyAlignment="1">
      <alignment wrapText="1"/>
    </xf>
    <xf numFmtId="0" fontId="18" fillId="0" borderId="0" xfId="7" applyFont="1" applyAlignment="1">
      <alignment wrapText="1"/>
    </xf>
    <xf numFmtId="0" fontId="3" fillId="0" borderId="14" xfId="9" applyBorder="1" applyAlignment="1">
      <alignment horizontal="center" vertical="center"/>
    </xf>
    <xf numFmtId="0" fontId="3" fillId="0" borderId="15" xfId="9" applyBorder="1" applyAlignment="1">
      <alignment horizontal="center" vertical="center"/>
    </xf>
    <xf numFmtId="0" fontId="3" fillId="0" borderId="16" xfId="9" applyBorder="1" applyAlignment="1">
      <alignment horizontal="center" vertical="center"/>
    </xf>
    <xf numFmtId="0" fontId="3" fillId="0" borderId="0" xfId="9"/>
    <xf numFmtId="0" fontId="23" fillId="0" borderId="0" xfId="9" applyFont="1" applyAlignment="1">
      <alignment horizontal="center" vertical="center"/>
    </xf>
    <xf numFmtId="0" fontId="24" fillId="11" borderId="17" xfId="8" applyFont="1" applyBorder="1" applyAlignment="1">
      <alignment horizontal="center" vertical="center"/>
    </xf>
    <xf numFmtId="0" fontId="25" fillId="11" borderId="1" xfId="8" applyBorder="1" applyAlignment="1">
      <alignment horizontal="center" vertical="center"/>
    </xf>
    <xf numFmtId="0" fontId="24" fillId="11" borderId="1" xfId="8" applyFont="1" applyBorder="1" applyAlignment="1">
      <alignment horizontal="center" vertical="center"/>
    </xf>
    <xf numFmtId="0" fontId="24" fillId="11" borderId="18" xfId="8" applyFont="1" applyBorder="1" applyAlignment="1">
      <alignment horizontal="center" vertical="center"/>
    </xf>
    <xf numFmtId="0" fontId="3" fillId="0" borderId="0" xfId="9" applyAlignment="1">
      <alignment horizontal="center" vertical="center"/>
    </xf>
    <xf numFmtId="0" fontId="23" fillId="0" borderId="17" xfId="9" applyFont="1" applyBorder="1" applyAlignment="1">
      <alignment horizontal="center" vertical="center"/>
    </xf>
    <xf numFmtId="0" fontId="3" fillId="0" borderId="1" xfId="9" applyBorder="1" applyAlignment="1">
      <alignment horizontal="center" vertical="center"/>
    </xf>
    <xf numFmtId="0" fontId="23" fillId="0" borderId="1" xfId="9" applyFont="1" applyBorder="1" applyAlignment="1">
      <alignment horizontal="center" vertical="center"/>
    </xf>
    <xf numFmtId="0" fontId="23" fillId="0" borderId="18" xfId="9" applyFont="1" applyBorder="1" applyAlignment="1">
      <alignment horizontal="center" vertical="center"/>
    </xf>
    <xf numFmtId="0" fontId="23" fillId="0" borderId="19" xfId="9" applyFont="1" applyBorder="1" applyAlignment="1">
      <alignment horizontal="center" vertical="center"/>
    </xf>
    <xf numFmtId="0" fontId="3" fillId="0" borderId="20" xfId="9" applyBorder="1" applyAlignment="1">
      <alignment horizontal="center" vertical="center"/>
    </xf>
    <xf numFmtId="0" fontId="23" fillId="0" borderId="20" xfId="9" applyFont="1" applyBorder="1" applyAlignment="1">
      <alignment horizontal="center" vertical="center"/>
    </xf>
    <xf numFmtId="0" fontId="23" fillId="0" borderId="21" xfId="9" applyFont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8" fillId="12" borderId="0" xfId="0" applyFont="1" applyFill="1" applyAlignment="1">
      <alignment wrapText="1"/>
    </xf>
    <xf numFmtId="0" fontId="0" fillId="10" borderId="0" xfId="0" applyFill="1"/>
    <xf numFmtId="0" fontId="21" fillId="0" borderId="0" xfId="5" applyFill="1" applyBorder="1" applyAlignment="1"/>
    <xf numFmtId="0" fontId="22" fillId="0" borderId="0" xfId="6" applyFill="1" applyBorder="1" applyAlignment="1"/>
    <xf numFmtId="0" fontId="20" fillId="0" borderId="0" xfId="4" applyFill="1" applyBorder="1" applyAlignment="1"/>
    <xf numFmtId="0" fontId="20" fillId="0" borderId="0" xfId="4" applyFill="1" applyBorder="1" applyAlignment="1">
      <alignment horizontal="center"/>
    </xf>
    <xf numFmtId="0" fontId="20" fillId="0" borderId="0" xfId="4" applyFill="1" applyBorder="1" applyAlignment="1">
      <alignment wrapText="1"/>
    </xf>
    <xf numFmtId="0" fontId="20" fillId="0" borderId="0" xfId="4" applyFill="1" applyBorder="1" applyAlignment="1">
      <alignment horizontal="center" wrapText="1"/>
    </xf>
    <xf numFmtId="4" fontId="0" fillId="0" borderId="0" xfId="0" applyNumberFormat="1"/>
    <xf numFmtId="0" fontId="0" fillId="14" borderId="0" xfId="0" applyFill="1"/>
    <xf numFmtId="0" fontId="26" fillId="0" borderId="0" xfId="9" applyFont="1" applyAlignment="1">
      <alignment horizontal="center" vertical="center"/>
    </xf>
    <xf numFmtId="0" fontId="27" fillId="0" borderId="0" xfId="9" applyFont="1" applyAlignment="1">
      <alignment horizontal="left" vertical="center"/>
    </xf>
    <xf numFmtId="3" fontId="28" fillId="0" borderId="0" xfId="9" applyNumberFormat="1" applyFont="1" applyAlignment="1">
      <alignment horizontal="center" vertical="center" wrapText="1"/>
    </xf>
    <xf numFmtId="3" fontId="28" fillId="0" borderId="0" xfId="9" applyNumberFormat="1" applyFont="1" applyAlignment="1">
      <alignment horizontal="center" vertical="center"/>
    </xf>
    <xf numFmtId="0" fontId="26" fillId="0" borderId="0" xfId="9" applyFont="1" applyAlignment="1">
      <alignment horizontal="center"/>
    </xf>
    <xf numFmtId="0" fontId="27" fillId="0" borderId="0" xfId="9" applyFont="1" applyAlignment="1">
      <alignment horizontal="center"/>
    </xf>
    <xf numFmtId="3" fontId="29" fillId="0" borderId="0" xfId="9" applyNumberFormat="1" applyFont="1" applyAlignment="1">
      <alignment horizontal="center" vertical="center"/>
    </xf>
    <xf numFmtId="164" fontId="28" fillId="0" borderId="0" xfId="9" applyNumberFormat="1" applyFont="1" applyAlignment="1">
      <alignment horizontal="center" vertical="center"/>
    </xf>
    <xf numFmtId="3" fontId="3" fillId="0" borderId="0" xfId="9" applyNumberFormat="1"/>
    <xf numFmtId="0" fontId="26" fillId="0" borderId="14" xfId="9" applyFont="1" applyBorder="1" applyAlignment="1">
      <alignment horizontal="center" vertical="center"/>
    </xf>
    <xf numFmtId="0" fontId="26" fillId="0" borderId="16" xfId="9" applyFont="1" applyBorder="1" applyAlignment="1">
      <alignment horizontal="center" vertical="center"/>
    </xf>
    <xf numFmtId="0" fontId="27" fillId="0" borderId="0" xfId="9" applyFont="1" applyAlignment="1">
      <alignment vertical="center" wrapText="1"/>
    </xf>
    <xf numFmtId="0" fontId="26" fillId="0" borderId="0" xfId="9" applyFont="1" applyAlignment="1">
      <alignment horizontal="left" vertical="center"/>
    </xf>
    <xf numFmtId="0" fontId="27" fillId="0" borderId="17" xfId="9" applyFont="1" applyBorder="1" applyAlignment="1">
      <alignment horizontal="left" vertical="center"/>
    </xf>
    <xf numFmtId="3" fontId="27" fillId="0" borderId="18" xfId="9" applyNumberFormat="1" applyFont="1" applyBorder="1" applyAlignment="1">
      <alignment horizontal="center" vertical="center"/>
    </xf>
    <xf numFmtId="0" fontId="27" fillId="0" borderId="19" xfId="9" applyFont="1" applyBorder="1" applyAlignment="1">
      <alignment horizontal="left" vertical="center"/>
    </xf>
    <xf numFmtId="3" fontId="27" fillId="0" borderId="21" xfId="9" applyNumberFormat="1" applyFont="1" applyBorder="1" applyAlignment="1">
      <alignment horizontal="center" vertical="center"/>
    </xf>
    <xf numFmtId="0" fontId="27" fillId="0" borderId="0" xfId="9" applyFont="1"/>
    <xf numFmtId="0" fontId="28" fillId="0" borderId="0" xfId="9" applyFont="1"/>
    <xf numFmtId="0" fontId="28" fillId="0" borderId="14" xfId="9" applyFont="1" applyBorder="1" applyAlignment="1">
      <alignment horizontal="left" vertical="center"/>
    </xf>
    <xf numFmtId="3" fontId="26" fillId="0" borderId="16" xfId="9" applyNumberFormat="1" applyFont="1" applyBorder="1" applyAlignment="1">
      <alignment horizontal="center"/>
    </xf>
    <xf numFmtId="0" fontId="28" fillId="0" borderId="19" xfId="9" applyFont="1" applyBorder="1" applyAlignment="1">
      <alignment horizontal="left" vertical="center"/>
    </xf>
    <xf numFmtId="3" fontId="27" fillId="0" borderId="21" xfId="9" applyNumberFormat="1" applyFont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1" fillId="0" borderId="0" xfId="10" applyAlignment="1">
      <alignment horizontal="center"/>
    </xf>
    <xf numFmtId="0" fontId="0" fillId="0" borderId="35" xfId="0" applyFill="1" applyBorder="1"/>
    <xf numFmtId="0" fontId="7" fillId="0" borderId="0" xfId="0" applyFont="1" applyFill="1" applyBorder="1"/>
    <xf numFmtId="0" fontId="2" fillId="0" borderId="0" xfId="1" applyFont="1"/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 vertical="center" wrapText="1"/>
    </xf>
    <xf numFmtId="0" fontId="0" fillId="17" borderId="0" xfId="0" applyFill="1" applyAlignment="1">
      <alignment horizont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17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7" applyAlignment="1">
      <alignment horizontal="center"/>
    </xf>
    <xf numFmtId="0" fontId="4" fillId="0" borderId="0" xfId="7" applyAlignment="1">
      <alignment horizontal="left"/>
    </xf>
    <xf numFmtId="0" fontId="27" fillId="0" borderId="22" xfId="9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24" xfId="9" applyFont="1" applyBorder="1" applyAlignment="1">
      <alignment horizontal="center" vertical="center" wrapText="1"/>
    </xf>
    <xf numFmtId="0" fontId="27" fillId="0" borderId="25" xfId="9" applyFont="1" applyBorder="1" applyAlignment="1">
      <alignment horizontal="center" vertical="center" wrapText="1"/>
    </xf>
    <xf numFmtId="0" fontId="27" fillId="0" borderId="6" xfId="9" applyFont="1" applyBorder="1" applyAlignment="1">
      <alignment horizontal="center" vertical="center" wrapText="1"/>
    </xf>
    <xf numFmtId="0" fontId="27" fillId="0" borderId="26" xfId="9" applyFont="1" applyBorder="1" applyAlignment="1">
      <alignment horizontal="center" vertical="center" wrapText="1"/>
    </xf>
    <xf numFmtId="0" fontId="27" fillId="15" borderId="27" xfId="9" applyFont="1" applyFill="1" applyBorder="1" applyAlignment="1">
      <alignment horizontal="center" wrapText="1"/>
    </xf>
    <xf numFmtId="0" fontId="27" fillId="15" borderId="12" xfId="9" applyFont="1" applyFill="1" applyBorder="1" applyAlignment="1">
      <alignment horizontal="center" wrapText="1"/>
    </xf>
    <xf numFmtId="0" fontId="27" fillId="15" borderId="28" xfId="9" applyFont="1" applyFill="1" applyBorder="1" applyAlignment="1">
      <alignment horizontal="center" wrapText="1"/>
    </xf>
    <xf numFmtId="0" fontId="27" fillId="15" borderId="29" xfId="9" applyFont="1" applyFill="1" applyBorder="1" applyAlignment="1">
      <alignment horizontal="center" wrapText="1"/>
    </xf>
    <xf numFmtId="0" fontId="27" fillId="15" borderId="30" xfId="9" applyFont="1" applyFill="1" applyBorder="1" applyAlignment="1">
      <alignment horizontal="center" wrapText="1"/>
    </xf>
    <xf numFmtId="0" fontId="27" fillId="15" borderId="31" xfId="9" applyFont="1" applyFill="1" applyBorder="1" applyAlignment="1">
      <alignment horizontal="center" wrapText="1"/>
    </xf>
  </cellXfs>
  <cellStyles count="11">
    <cellStyle name="Bevitel 2" xfId="3" xr:uid="{00000000-0005-0000-0000-000001000000}"/>
    <cellStyle name="Hivatkozás" xfId="10" builtinId="8"/>
    <cellStyle name="Jelölőszín 1" xfId="8" builtinId="29"/>
    <cellStyle name="Jó 2" xfId="5" xr:uid="{00000000-0005-0000-0000-000003000000}"/>
    <cellStyle name="Normál" xfId="0" builtinId="0"/>
    <cellStyle name="Normál 2" xfId="1" xr:uid="{00000000-0005-0000-0000-000005000000}"/>
    <cellStyle name="Normál 3" xfId="2" xr:uid="{00000000-0005-0000-0000-000006000000}"/>
    <cellStyle name="Normál 4" xfId="7" xr:uid="{00000000-0005-0000-0000-000007000000}"/>
    <cellStyle name="Normál 5" xfId="9" xr:uid="{00000000-0005-0000-0000-000008000000}"/>
    <cellStyle name="Rossz 2" xfId="6" xr:uid="{00000000-0005-0000-0000-000009000000}"/>
    <cellStyle name="Semleges 2" xfId="4" xr:uid="{00000000-0005-0000-0000-00000A000000}"/>
  </cellStyles>
  <dxfs count="3">
    <dxf>
      <font>
        <b/>
        <i val="0"/>
        <color rgb="FFFFFFFF"/>
      </font>
      <fill>
        <patternFill patternType="solid">
          <fgColor rgb="FFCC0000"/>
          <bgColor rgb="FFCC0000"/>
        </patternFill>
      </fill>
    </dxf>
    <dxf>
      <font>
        <b val="0"/>
        <i val="0"/>
        <color rgb="FF006600"/>
      </font>
      <fill>
        <patternFill patternType="solid">
          <fgColor rgb="FFCCFFCC"/>
          <bgColor rgb="FFCCFFCC"/>
        </patternFill>
      </fill>
    </dxf>
    <dxf>
      <font>
        <b val="0"/>
        <i val="0"/>
        <color rgb="FF006600"/>
      </font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1209675</xdr:colOff>
      <xdr:row>15</xdr:row>
      <xdr:rowOff>47625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53B0FF73-1587-4F4D-A75F-171F8C49BD34}"/>
            </a:ext>
          </a:extLst>
        </xdr:cNvPr>
        <xdr:cNvSpPr txBox="1"/>
      </xdr:nvSpPr>
      <xdr:spPr>
        <a:xfrm>
          <a:off x="1819275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</xdr:col>
      <xdr:colOff>9524</xdr:colOff>
      <xdr:row>15</xdr:row>
      <xdr:rowOff>28574</xdr:rowOff>
    </xdr:from>
    <xdr:to>
      <xdr:col>5</xdr:col>
      <xdr:colOff>523875</xdr:colOff>
      <xdr:row>29</xdr:row>
      <xdr:rowOff>38100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40EB8A6C-AAFB-472B-90D9-20B263C757B4}"/>
            </a:ext>
          </a:extLst>
        </xdr:cNvPr>
        <xdr:cNvSpPr txBox="1"/>
      </xdr:nvSpPr>
      <xdr:spPr>
        <a:xfrm>
          <a:off x="619124" y="2886074"/>
          <a:ext cx="4638676" cy="2676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Magyarázat:</a:t>
          </a:r>
          <a:endParaRPr lang="hu-HU">
            <a:effectLst/>
          </a:endParaRPr>
        </a:p>
        <a:p>
          <a:pPr algn="l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szempont szerint rendeztem sorrendbe az egyes pályázatokat: sürgősség, kozkázatosság és ár. A sorrend fordított, tehát a legnagyobb pontszámú a legjobb.</a:t>
          </a:r>
        </a:p>
        <a:p>
          <a:pPr algn="l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szempontokat sorba rendezve fontosság szerint egy súlyt is hozzájuk rendeltem.</a:t>
          </a:r>
        </a:p>
        <a:p>
          <a:pPr algn="l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végső súlyozott indexet pedig úgy kaptam meg, hogy a sorszámokat a súlyukkal megszorozva összeadtam őket.</a:t>
          </a:r>
        </a:p>
        <a:p>
          <a:pPr algn="l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Ez alapján a 3-es és 4-es és 5-ös pályázat fér bele a keretbe, összesen 16 millió Forinttal</a:t>
          </a:r>
        </a:p>
        <a:p>
          <a:endParaRPr lang="hu-HU">
            <a:effectLst/>
          </a:endParaRPr>
        </a:p>
        <a:p>
          <a:r>
            <a:rPr lang="hu-HU">
              <a:effectLst/>
            </a:rPr>
            <a:t>Miért jobb ez más megoldásnál?</a:t>
          </a:r>
        </a:p>
        <a:p>
          <a:r>
            <a:rPr lang="hu-HU">
              <a:effectLst/>
            </a:rPr>
            <a:t>Mert nem csak egy szempontot vesz</a:t>
          </a:r>
          <a:r>
            <a:rPr lang="hu-HU" baseline="0">
              <a:effectLst/>
            </a:rPr>
            <a:t> figyelembe, hanem többet és azok között is egyfajta hierarchiát állít fel, ezzel finomítva a döntési módszeren.</a:t>
          </a:r>
          <a:endParaRPr lang="hu-HU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1013460</xdr:colOff>
      <xdr:row>14</xdr:row>
      <xdr:rowOff>60960</xdr:rowOff>
    </xdr:from>
    <xdr:to>
      <xdr:col>8</xdr:col>
      <xdr:colOff>749879</xdr:colOff>
      <xdr:row>39</xdr:row>
      <xdr:rowOff>160425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F48B76A-9440-46E4-A42E-51FA024F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2621280"/>
          <a:ext cx="4940879" cy="467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142875</xdr:rowOff>
    </xdr:from>
    <xdr:to>
      <xdr:col>18</xdr:col>
      <xdr:colOff>327308</xdr:colOff>
      <xdr:row>18</xdr:row>
      <xdr:rowOff>38192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24D782-E16B-4FE7-9E40-35634C2A9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8880" y="2703195"/>
          <a:ext cx="6354062" cy="626837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18</xdr:row>
      <xdr:rowOff>133350</xdr:rowOff>
    </xdr:from>
    <xdr:to>
      <xdr:col>18</xdr:col>
      <xdr:colOff>555938</xdr:colOff>
      <xdr:row>22</xdr:row>
      <xdr:rowOff>38193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3AB47-1223-44E8-ABCF-F1D552467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8405" y="3425190"/>
          <a:ext cx="6573167" cy="636363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22</xdr:row>
      <xdr:rowOff>104775</xdr:rowOff>
    </xdr:from>
    <xdr:to>
      <xdr:col>18</xdr:col>
      <xdr:colOff>355884</xdr:colOff>
      <xdr:row>28</xdr:row>
      <xdr:rowOff>57303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B33A69-9213-4AA3-BA78-CAF2368DA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07930" y="4128135"/>
          <a:ext cx="6363588" cy="104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zoomScale="145" zoomScaleNormal="145" workbookViewId="0">
      <selection activeCell="E1" sqref="E1"/>
    </sheetView>
  </sheetViews>
  <sheetFormatPr defaultRowHeight="14.4" x14ac:dyDescent="0.3"/>
  <cols>
    <col min="2" max="2" width="19.6640625" bestFit="1" customWidth="1"/>
    <col min="3" max="3" width="13.5546875" customWidth="1"/>
    <col min="4" max="4" width="15.33203125" customWidth="1"/>
    <col min="5" max="5" width="14.44140625" customWidth="1"/>
    <col min="6" max="6" width="18.109375" customWidth="1"/>
    <col min="8" max="8" width="36.33203125" bestFit="1" customWidth="1"/>
    <col min="9" max="9" width="21.33203125" bestFit="1" customWidth="1"/>
    <col min="11" max="11" width="11.33203125" bestFit="1" customWidth="1"/>
    <col min="12" max="12" width="18.6640625" bestFit="1" customWidth="1"/>
  </cols>
  <sheetData>
    <row r="1" spans="1:12" x14ac:dyDescent="0.3">
      <c r="B1" t="s">
        <v>2</v>
      </c>
      <c r="C1" t="s">
        <v>3</v>
      </c>
      <c r="D1" t="s">
        <v>4</v>
      </c>
      <c r="E1" t="s">
        <v>6</v>
      </c>
      <c r="F1" t="s">
        <v>5</v>
      </c>
      <c r="G1" t="s">
        <v>0</v>
      </c>
      <c r="H1" s="3" t="s">
        <v>12</v>
      </c>
      <c r="K1" t="s">
        <v>6</v>
      </c>
      <c r="L1" s="3" t="s">
        <v>13</v>
      </c>
    </row>
    <row r="2" spans="1:12" ht="43.2" x14ac:dyDescent="0.3">
      <c r="B2">
        <v>1</v>
      </c>
      <c r="C2" s="5">
        <v>2</v>
      </c>
      <c r="D2" s="5">
        <v>4</v>
      </c>
      <c r="E2">
        <v>1</v>
      </c>
      <c r="F2">
        <f t="shared" ref="F2:F9" si="0">$C$12*C2+$C$13*D2+$C$14*E2</f>
        <v>12</v>
      </c>
      <c r="I2" s="7" t="s">
        <v>11</v>
      </c>
      <c r="K2">
        <v>1</v>
      </c>
      <c r="L2" s="8" t="s">
        <v>14</v>
      </c>
    </row>
    <row r="3" spans="1:12" x14ac:dyDescent="0.3">
      <c r="B3">
        <v>2</v>
      </c>
      <c r="C3" s="5">
        <v>1</v>
      </c>
      <c r="D3" s="5">
        <v>5</v>
      </c>
      <c r="E3">
        <v>8</v>
      </c>
      <c r="F3">
        <f t="shared" si="0"/>
        <v>24</v>
      </c>
      <c r="K3">
        <v>8</v>
      </c>
      <c r="L3" s="8" t="s">
        <v>14</v>
      </c>
    </row>
    <row r="4" spans="1:12" x14ac:dyDescent="0.3">
      <c r="B4" s="1">
        <v>3</v>
      </c>
      <c r="C4" s="6">
        <v>7</v>
      </c>
      <c r="D4" s="6">
        <v>3</v>
      </c>
      <c r="E4" s="1">
        <v>6</v>
      </c>
      <c r="F4" s="1">
        <f t="shared" si="0"/>
        <v>36</v>
      </c>
      <c r="G4" s="1">
        <v>5.2</v>
      </c>
      <c r="K4" s="1">
        <v>6</v>
      </c>
      <c r="L4" s="8" t="s">
        <v>14</v>
      </c>
    </row>
    <row r="5" spans="1:12" x14ac:dyDescent="0.3">
      <c r="B5" s="1">
        <v>4</v>
      </c>
      <c r="C5" s="6">
        <v>8</v>
      </c>
      <c r="D5" s="6">
        <v>2</v>
      </c>
      <c r="E5" s="1">
        <v>3</v>
      </c>
      <c r="F5" s="1">
        <f t="shared" si="0"/>
        <v>32</v>
      </c>
      <c r="G5" s="1">
        <v>6.5</v>
      </c>
      <c r="K5" s="1">
        <v>3</v>
      </c>
      <c r="L5" s="8" t="s">
        <v>14</v>
      </c>
    </row>
    <row r="6" spans="1:12" x14ac:dyDescent="0.3">
      <c r="B6" s="1">
        <v>5</v>
      </c>
      <c r="C6" s="6">
        <v>3</v>
      </c>
      <c r="D6" s="6">
        <v>6</v>
      </c>
      <c r="E6" s="1">
        <v>7</v>
      </c>
      <c r="F6" s="4">
        <f t="shared" si="0"/>
        <v>29</v>
      </c>
      <c r="G6" s="1">
        <v>4.3</v>
      </c>
      <c r="I6" s="3" t="s">
        <v>9</v>
      </c>
      <c r="K6" s="1">
        <v>7</v>
      </c>
      <c r="L6" s="8" t="s">
        <v>14</v>
      </c>
    </row>
    <row r="7" spans="1:12" x14ac:dyDescent="0.3">
      <c r="B7">
        <v>6</v>
      </c>
      <c r="C7" s="5">
        <v>5</v>
      </c>
      <c r="D7" s="5">
        <v>1</v>
      </c>
      <c r="E7">
        <v>5</v>
      </c>
      <c r="F7">
        <f t="shared" si="0"/>
        <v>26</v>
      </c>
      <c r="K7">
        <v>5</v>
      </c>
      <c r="L7" s="8" t="s">
        <v>14</v>
      </c>
    </row>
    <row r="8" spans="1:12" x14ac:dyDescent="0.3">
      <c r="B8">
        <v>7</v>
      </c>
      <c r="C8" s="5">
        <v>4</v>
      </c>
      <c r="D8" s="5">
        <v>8</v>
      </c>
      <c r="E8">
        <v>4</v>
      </c>
      <c r="F8">
        <f t="shared" si="0"/>
        <v>28</v>
      </c>
      <c r="K8">
        <v>4</v>
      </c>
      <c r="L8" s="8" t="s">
        <v>14</v>
      </c>
    </row>
    <row r="9" spans="1:12" x14ac:dyDescent="0.3">
      <c r="B9">
        <v>8</v>
      </c>
      <c r="C9" s="5">
        <v>6</v>
      </c>
      <c r="D9" s="5">
        <v>7</v>
      </c>
      <c r="E9">
        <v>2</v>
      </c>
      <c r="F9" s="3">
        <f t="shared" si="0"/>
        <v>29</v>
      </c>
      <c r="I9" s="3" t="s">
        <v>9</v>
      </c>
      <c r="K9">
        <v>2</v>
      </c>
      <c r="L9" s="8" t="s">
        <v>14</v>
      </c>
    </row>
    <row r="10" spans="1:12" x14ac:dyDescent="0.3">
      <c r="B10" t="s">
        <v>342</v>
      </c>
      <c r="C10" s="126">
        <v>1</v>
      </c>
      <c r="D10" s="126">
        <v>2</v>
      </c>
      <c r="E10">
        <v>3</v>
      </c>
      <c r="F10">
        <v>4</v>
      </c>
    </row>
    <row r="11" spans="1:12" x14ac:dyDescent="0.3">
      <c r="A11" t="s">
        <v>342</v>
      </c>
      <c r="C11" s="2" t="s">
        <v>1</v>
      </c>
      <c r="D11" s="2" t="s">
        <v>7</v>
      </c>
      <c r="F11" t="s">
        <v>8</v>
      </c>
      <c r="G11">
        <f>SUM(G2:G10)</f>
        <v>16</v>
      </c>
    </row>
    <row r="12" spans="1:12" x14ac:dyDescent="0.3">
      <c r="A12">
        <v>5</v>
      </c>
      <c r="B12" s="3" t="s">
        <v>10</v>
      </c>
      <c r="C12" s="2">
        <v>3</v>
      </c>
      <c r="D12" s="2" t="s">
        <v>3</v>
      </c>
    </row>
    <row r="13" spans="1:12" x14ac:dyDescent="0.3">
      <c r="A13">
        <v>6</v>
      </c>
      <c r="B13" s="3" t="s">
        <v>10</v>
      </c>
      <c r="C13" s="2">
        <v>1</v>
      </c>
      <c r="D13" s="2" t="s">
        <v>4</v>
      </c>
    </row>
    <row r="14" spans="1:12" x14ac:dyDescent="0.3">
      <c r="A14">
        <v>7</v>
      </c>
      <c r="B14" s="3" t="s">
        <v>10</v>
      </c>
      <c r="C14" s="2">
        <v>2</v>
      </c>
      <c r="D14" s="2" t="s">
        <v>6</v>
      </c>
    </row>
    <row r="15" spans="1:12" x14ac:dyDescent="0.3">
      <c r="A15">
        <v>8</v>
      </c>
      <c r="B15" s="127" t="s">
        <v>343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6"/>
  <sheetViews>
    <sheetView zoomScale="63" zoomScaleNormal="80" workbookViewId="0"/>
  </sheetViews>
  <sheetFormatPr defaultRowHeight="14.4" x14ac:dyDescent="0.3"/>
  <cols>
    <col min="1" max="1" width="11.5546875" bestFit="1" customWidth="1"/>
    <col min="2" max="2" width="34.6640625" bestFit="1" customWidth="1"/>
    <col min="3" max="3" width="12.6640625" bestFit="1" customWidth="1"/>
    <col min="4" max="4" width="61.109375" bestFit="1" customWidth="1"/>
    <col min="5" max="5" width="38" bestFit="1" customWidth="1"/>
    <col min="6" max="6" width="13.33203125" bestFit="1" customWidth="1"/>
    <col min="7" max="7" width="7.5546875" bestFit="1" customWidth="1"/>
    <col min="11" max="11" width="13.33203125" bestFit="1" customWidth="1"/>
    <col min="12" max="12" width="5.44140625" bestFit="1" customWidth="1"/>
    <col min="13" max="13" width="2.33203125" bestFit="1" customWidth="1"/>
    <col min="14" max="14" width="4.33203125" bestFit="1" customWidth="1"/>
    <col min="15" max="15" width="64.44140625" bestFit="1" customWidth="1"/>
    <col min="17" max="17" width="5.44140625" bestFit="1" customWidth="1"/>
  </cols>
  <sheetData>
    <row r="1" spans="1:17" x14ac:dyDescent="0.3">
      <c r="C1" t="s">
        <v>226</v>
      </c>
    </row>
    <row r="2" spans="1:17" x14ac:dyDescent="0.3">
      <c r="A2" t="s">
        <v>227</v>
      </c>
      <c r="B2">
        <v>1</v>
      </c>
      <c r="C2">
        <v>2</v>
      </c>
      <c r="D2">
        <v>3</v>
      </c>
      <c r="E2">
        <v>4</v>
      </c>
      <c r="F2">
        <v>5</v>
      </c>
      <c r="K2">
        <v>1</v>
      </c>
      <c r="L2">
        <v>2</v>
      </c>
      <c r="M2">
        <v>3</v>
      </c>
      <c r="N2">
        <v>4</v>
      </c>
      <c r="O2">
        <v>5</v>
      </c>
    </row>
    <row r="3" spans="1:17" x14ac:dyDescent="0.3">
      <c r="A3">
        <v>1</v>
      </c>
      <c r="B3" s="91">
        <f>18*800000</f>
        <v>14400000</v>
      </c>
      <c r="C3">
        <v>18</v>
      </c>
      <c r="D3">
        <v>0</v>
      </c>
      <c r="E3">
        <v>48</v>
      </c>
      <c r="F3" s="91">
        <f>$K$16-B3</f>
        <v>2100000</v>
      </c>
      <c r="K3">
        <f>B3/1000000</f>
        <v>14.4</v>
      </c>
      <c r="L3">
        <v>18</v>
      </c>
      <c r="M3">
        <v>0</v>
      </c>
      <c r="N3">
        <v>48</v>
      </c>
      <c r="O3">
        <f>RANK(F3,$F$3:$F$10)</f>
        <v>7</v>
      </c>
    </row>
    <row r="4" spans="1:17" x14ac:dyDescent="0.3">
      <c r="A4">
        <v>2</v>
      </c>
      <c r="B4" s="91">
        <v>2400000</v>
      </c>
      <c r="C4">
        <v>1</v>
      </c>
      <c r="D4">
        <v>0</v>
      </c>
      <c r="E4">
        <v>82</v>
      </c>
      <c r="F4" s="91">
        <f t="shared" ref="F4:F10" si="0">$K$16-B4</f>
        <v>14100000</v>
      </c>
      <c r="K4">
        <f t="shared" ref="K4:K10" si="1">B4/1000000</f>
        <v>2.4</v>
      </c>
      <c r="L4">
        <v>1</v>
      </c>
      <c r="M4">
        <v>0</v>
      </c>
      <c r="N4">
        <v>82</v>
      </c>
      <c r="O4" s="92">
        <f t="shared" ref="O4:O10" si="2">RANK(F4,$F$3:$F$10)</f>
        <v>1</v>
      </c>
      <c r="Q4">
        <f>Q10-K4</f>
        <v>1.7000000000000006</v>
      </c>
    </row>
    <row r="5" spans="1:17" x14ac:dyDescent="0.3">
      <c r="A5">
        <v>3</v>
      </c>
      <c r="B5" s="91">
        <v>5200000</v>
      </c>
      <c r="C5">
        <v>1</v>
      </c>
      <c r="D5">
        <v>1</v>
      </c>
      <c r="E5">
        <v>7</v>
      </c>
      <c r="F5" s="91">
        <f t="shared" si="0"/>
        <v>11300000</v>
      </c>
      <c r="K5">
        <f t="shared" si="1"/>
        <v>5.2</v>
      </c>
      <c r="L5">
        <v>1</v>
      </c>
      <c r="M5" s="92">
        <v>1</v>
      </c>
      <c r="N5">
        <v>7</v>
      </c>
      <c r="O5" s="92">
        <f t="shared" si="2"/>
        <v>2</v>
      </c>
      <c r="P5" s="92"/>
      <c r="Q5">
        <f>16.5-K5</f>
        <v>11.3</v>
      </c>
    </row>
    <row r="6" spans="1:17" x14ac:dyDescent="0.3">
      <c r="A6">
        <v>4</v>
      </c>
      <c r="B6" s="91">
        <v>6500000</v>
      </c>
      <c r="C6">
        <v>1</v>
      </c>
      <c r="D6">
        <v>1</v>
      </c>
      <c r="E6" t="s">
        <v>228</v>
      </c>
      <c r="F6" s="91">
        <f t="shared" si="0"/>
        <v>10000000</v>
      </c>
      <c r="K6">
        <f t="shared" si="1"/>
        <v>6.5</v>
      </c>
      <c r="L6">
        <v>1</v>
      </c>
      <c r="M6" s="92">
        <v>1</v>
      </c>
      <c r="N6" s="92">
        <v>90</v>
      </c>
      <c r="O6">
        <f t="shared" si="2"/>
        <v>5</v>
      </c>
    </row>
    <row r="7" spans="1:17" x14ac:dyDescent="0.3">
      <c r="A7">
        <v>5</v>
      </c>
      <c r="B7" s="91">
        <v>16000000</v>
      </c>
      <c r="C7" t="s">
        <v>229</v>
      </c>
      <c r="D7">
        <v>0</v>
      </c>
      <c r="E7" t="s">
        <v>230</v>
      </c>
      <c r="F7" s="91">
        <f t="shared" si="0"/>
        <v>500000</v>
      </c>
      <c r="K7">
        <f t="shared" si="1"/>
        <v>16</v>
      </c>
      <c r="L7" s="92">
        <v>2222</v>
      </c>
      <c r="M7">
        <v>0</v>
      </c>
      <c r="N7">
        <v>0</v>
      </c>
      <c r="O7">
        <f t="shared" si="2"/>
        <v>8</v>
      </c>
    </row>
    <row r="8" spans="1:17" x14ac:dyDescent="0.3">
      <c r="A8">
        <v>6</v>
      </c>
      <c r="B8" s="91">
        <v>5600000</v>
      </c>
      <c r="C8" t="s">
        <v>229</v>
      </c>
      <c r="D8">
        <v>0</v>
      </c>
      <c r="E8" t="s">
        <v>231</v>
      </c>
      <c r="F8" s="91">
        <f t="shared" si="0"/>
        <v>10900000</v>
      </c>
      <c r="K8">
        <f t="shared" si="1"/>
        <v>5.6</v>
      </c>
      <c r="L8" s="92">
        <v>2222</v>
      </c>
      <c r="M8">
        <v>0</v>
      </c>
      <c r="N8">
        <v>0</v>
      </c>
      <c r="O8" s="92">
        <f t="shared" si="2"/>
        <v>3</v>
      </c>
    </row>
    <row r="9" spans="1:17" x14ac:dyDescent="0.3">
      <c r="A9">
        <v>7</v>
      </c>
      <c r="B9" s="91">
        <v>6100000</v>
      </c>
      <c r="C9" t="s">
        <v>229</v>
      </c>
      <c r="D9">
        <v>0</v>
      </c>
      <c r="E9" t="s">
        <v>232</v>
      </c>
      <c r="F9" s="91">
        <f t="shared" si="0"/>
        <v>10400000</v>
      </c>
      <c r="K9">
        <f t="shared" si="1"/>
        <v>6.1</v>
      </c>
      <c r="L9" s="92">
        <v>2222</v>
      </c>
      <c r="M9">
        <v>0</v>
      </c>
      <c r="N9" s="92">
        <v>200</v>
      </c>
      <c r="O9">
        <f t="shared" si="2"/>
        <v>4</v>
      </c>
    </row>
    <row r="10" spans="1:17" x14ac:dyDescent="0.3">
      <c r="A10">
        <v>8</v>
      </c>
      <c r="B10" s="91">
        <v>7200000</v>
      </c>
      <c r="C10" t="s">
        <v>229</v>
      </c>
      <c r="D10">
        <v>1</v>
      </c>
      <c r="E10" t="s">
        <v>232</v>
      </c>
      <c r="F10" s="91">
        <f t="shared" si="0"/>
        <v>9300000</v>
      </c>
      <c r="K10">
        <f t="shared" si="1"/>
        <v>7.2</v>
      </c>
      <c r="L10" s="92">
        <v>2222</v>
      </c>
      <c r="M10" s="92">
        <v>1</v>
      </c>
      <c r="N10" s="92">
        <v>200</v>
      </c>
      <c r="O10">
        <f t="shared" si="2"/>
        <v>6</v>
      </c>
      <c r="P10" s="92"/>
      <c r="Q10">
        <f>Q5-K10</f>
        <v>4.1000000000000005</v>
      </c>
    </row>
    <row r="12" spans="1:17" x14ac:dyDescent="0.3">
      <c r="A12" t="s">
        <v>50</v>
      </c>
      <c r="B12" t="s">
        <v>233</v>
      </c>
    </row>
    <row r="13" spans="1:17" x14ac:dyDescent="0.3">
      <c r="A13" t="s">
        <v>51</v>
      </c>
      <c r="B13" t="s">
        <v>234</v>
      </c>
      <c r="D13" t="s">
        <v>229</v>
      </c>
      <c r="E13" t="s">
        <v>235</v>
      </c>
    </row>
    <row r="14" spans="1:17" x14ac:dyDescent="0.3">
      <c r="A14" t="s">
        <v>52</v>
      </c>
      <c r="B14" t="s">
        <v>236</v>
      </c>
      <c r="D14">
        <v>0</v>
      </c>
      <c r="E14" t="s">
        <v>237</v>
      </c>
      <c r="F14">
        <v>1</v>
      </c>
      <c r="G14" t="s">
        <v>238</v>
      </c>
      <c r="O14" t="s">
        <v>239</v>
      </c>
    </row>
    <row r="15" spans="1:17" x14ac:dyDescent="0.3">
      <c r="A15" t="s">
        <v>53</v>
      </c>
      <c r="B15" t="s">
        <v>240</v>
      </c>
      <c r="D15" t="s">
        <v>241</v>
      </c>
    </row>
    <row r="16" spans="1:17" x14ac:dyDescent="0.3">
      <c r="A16" t="s">
        <v>54</v>
      </c>
      <c r="B16" t="s">
        <v>242</v>
      </c>
      <c r="D16" t="s">
        <v>243</v>
      </c>
      <c r="K16" s="91">
        <v>16500000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7"/>
  <sheetViews>
    <sheetView zoomScale="80" zoomScaleNormal="80" workbookViewId="0"/>
  </sheetViews>
  <sheetFormatPr defaultColWidth="8.88671875" defaultRowHeight="14.4" x14ac:dyDescent="0.3"/>
  <cols>
    <col min="1" max="1" width="44" style="66" bestFit="1" customWidth="1"/>
    <col min="2" max="2" width="18.6640625" style="66" bestFit="1" customWidth="1"/>
    <col min="3" max="3" width="41.5546875" style="66" bestFit="1" customWidth="1"/>
    <col min="4" max="4" width="27.88671875" style="66" bestFit="1" customWidth="1"/>
    <col min="5" max="7" width="12.44140625" style="66" bestFit="1" customWidth="1"/>
    <col min="8" max="8" width="12.44140625" style="66" customWidth="1"/>
    <col min="9" max="9" width="24" style="66" bestFit="1" customWidth="1"/>
    <col min="10" max="10" width="9.44140625" style="66" customWidth="1"/>
    <col min="11" max="11" width="9.88671875" style="66" bestFit="1" customWidth="1"/>
    <col min="12" max="16384" width="8.88671875" style="66"/>
  </cols>
  <sheetData>
    <row r="1" spans="1:15" ht="15.6" x14ac:dyDescent="0.3">
      <c r="A1" s="93" t="s">
        <v>244</v>
      </c>
      <c r="B1" s="93" t="s">
        <v>245</v>
      </c>
      <c r="C1" s="93" t="s">
        <v>246</v>
      </c>
      <c r="D1" s="93" t="s">
        <v>247</v>
      </c>
      <c r="E1" s="93" t="s">
        <v>248</v>
      </c>
      <c r="F1" s="93" t="s">
        <v>249</v>
      </c>
      <c r="G1" s="93" t="s">
        <v>250</v>
      </c>
      <c r="H1" s="93" t="s">
        <v>251</v>
      </c>
      <c r="I1" s="93" t="s">
        <v>252</v>
      </c>
      <c r="J1" s="93" t="s">
        <v>253</v>
      </c>
    </row>
    <row r="2" spans="1:15" ht="15.6" x14ac:dyDescent="0.3">
      <c r="A2" s="94" t="s">
        <v>254</v>
      </c>
      <c r="B2" s="95">
        <f>C2*D2</f>
        <v>14400000</v>
      </c>
      <c r="C2" s="95">
        <v>18</v>
      </c>
      <c r="D2" s="96">
        <f>800000</f>
        <v>800000</v>
      </c>
      <c r="E2" s="96">
        <v>5</v>
      </c>
      <c r="F2" s="96">
        <v>3</v>
      </c>
      <c r="G2" s="96">
        <v>3</v>
      </c>
      <c r="H2" s="96">
        <v>4</v>
      </c>
      <c r="I2" s="96">
        <f>SUM(E2:H2)</f>
        <v>15</v>
      </c>
      <c r="J2" s="97" t="s">
        <v>53</v>
      </c>
    </row>
    <row r="3" spans="1:15" ht="15.6" x14ac:dyDescent="0.3">
      <c r="A3" s="94" t="s">
        <v>255</v>
      </c>
      <c r="B3" s="95">
        <v>2400000</v>
      </c>
      <c r="C3" s="95">
        <v>1</v>
      </c>
      <c r="D3" s="96">
        <f t="shared" ref="D3:D9" si="0">B3/C3</f>
        <v>2400000</v>
      </c>
      <c r="E3" s="96">
        <v>6</v>
      </c>
      <c r="F3" s="96">
        <v>1</v>
      </c>
      <c r="G3" s="96">
        <v>2</v>
      </c>
      <c r="H3" s="96">
        <v>2</v>
      </c>
      <c r="I3" s="96">
        <f t="shared" ref="I3:I9" si="1">SUM(E3:H3)</f>
        <v>11</v>
      </c>
      <c r="J3" s="98" t="s">
        <v>52</v>
      </c>
    </row>
    <row r="4" spans="1:15" ht="15.6" x14ac:dyDescent="0.3">
      <c r="A4" s="94" t="s">
        <v>256</v>
      </c>
      <c r="B4" s="95">
        <v>5200000</v>
      </c>
      <c r="C4" s="95">
        <v>1</v>
      </c>
      <c r="D4" s="96">
        <f t="shared" si="0"/>
        <v>5200000</v>
      </c>
      <c r="E4" s="96">
        <v>6</v>
      </c>
      <c r="F4" s="96">
        <v>4</v>
      </c>
      <c r="G4" s="96">
        <v>5</v>
      </c>
      <c r="H4" s="96">
        <v>6</v>
      </c>
      <c r="I4" s="96">
        <f t="shared" si="1"/>
        <v>21</v>
      </c>
      <c r="J4" s="97" t="s">
        <v>55</v>
      </c>
    </row>
    <row r="5" spans="1:15" ht="15.6" x14ac:dyDescent="0.3">
      <c r="A5" s="94" t="s">
        <v>257</v>
      </c>
      <c r="B5" s="95">
        <v>6500000</v>
      </c>
      <c r="C5" s="95">
        <v>1</v>
      </c>
      <c r="D5" s="96">
        <f t="shared" si="0"/>
        <v>6500000</v>
      </c>
      <c r="E5" s="96">
        <v>6</v>
      </c>
      <c r="F5" s="96">
        <v>4</v>
      </c>
      <c r="G5" s="96">
        <v>5</v>
      </c>
      <c r="H5" s="96">
        <v>6</v>
      </c>
      <c r="I5" s="96">
        <f t="shared" si="1"/>
        <v>21</v>
      </c>
      <c r="J5" s="97" t="s">
        <v>55</v>
      </c>
    </row>
    <row r="6" spans="1:15" ht="15.6" x14ac:dyDescent="0.3">
      <c r="A6" s="94" t="s">
        <v>258</v>
      </c>
      <c r="B6" s="95">
        <v>4300000</v>
      </c>
      <c r="C6" s="96">
        <v>300</v>
      </c>
      <c r="D6" s="96">
        <f t="shared" si="0"/>
        <v>14333.333333333334</v>
      </c>
      <c r="E6" s="96">
        <v>4</v>
      </c>
      <c r="F6" s="96">
        <v>2</v>
      </c>
      <c r="G6" s="96">
        <v>2</v>
      </c>
      <c r="H6" s="96">
        <v>3</v>
      </c>
      <c r="I6" s="96">
        <f t="shared" si="1"/>
        <v>11</v>
      </c>
      <c r="J6" s="98" t="s">
        <v>52</v>
      </c>
    </row>
    <row r="7" spans="1:15" ht="15.6" x14ac:dyDescent="0.3">
      <c r="A7" s="94" t="s">
        <v>259</v>
      </c>
      <c r="B7" s="95">
        <v>5600000</v>
      </c>
      <c r="C7" s="96">
        <v>5000</v>
      </c>
      <c r="D7" s="96">
        <f t="shared" si="0"/>
        <v>1120</v>
      </c>
      <c r="E7" s="96">
        <v>3</v>
      </c>
      <c r="F7" s="96">
        <v>5</v>
      </c>
      <c r="G7" s="96">
        <v>4</v>
      </c>
      <c r="H7" s="96">
        <v>5</v>
      </c>
      <c r="I7" s="96">
        <f t="shared" si="1"/>
        <v>17</v>
      </c>
      <c r="J7" s="97" t="s">
        <v>54</v>
      </c>
    </row>
    <row r="8" spans="1:15" ht="15.6" x14ac:dyDescent="0.3">
      <c r="A8" s="94" t="s">
        <v>260</v>
      </c>
      <c r="B8" s="95">
        <v>6100000</v>
      </c>
      <c r="C8" s="96">
        <v>10000</v>
      </c>
      <c r="D8" s="96">
        <f t="shared" si="0"/>
        <v>610</v>
      </c>
      <c r="E8" s="96">
        <v>2</v>
      </c>
      <c r="F8" s="96">
        <v>1</v>
      </c>
      <c r="G8" s="96">
        <v>1</v>
      </c>
      <c r="H8" s="96">
        <v>1</v>
      </c>
      <c r="I8" s="99">
        <f t="shared" si="1"/>
        <v>5</v>
      </c>
      <c r="J8" s="98" t="s">
        <v>51</v>
      </c>
    </row>
    <row r="9" spans="1:15" ht="15.6" x14ac:dyDescent="0.3">
      <c r="A9" s="94" t="s">
        <v>153</v>
      </c>
      <c r="B9" s="95">
        <v>7200000</v>
      </c>
      <c r="C9" s="95">
        <v>130000</v>
      </c>
      <c r="D9" s="100">
        <f t="shared" si="0"/>
        <v>55.384615384615387</v>
      </c>
      <c r="E9" s="96">
        <v>1</v>
      </c>
      <c r="F9" s="96">
        <v>1</v>
      </c>
      <c r="G9" s="96">
        <v>1</v>
      </c>
      <c r="H9" s="96">
        <v>1</v>
      </c>
      <c r="I9" s="99">
        <f t="shared" si="1"/>
        <v>4</v>
      </c>
      <c r="J9" s="98" t="s">
        <v>50</v>
      </c>
      <c r="K9" s="101"/>
    </row>
    <row r="10" spans="1:15" ht="15" thickBot="1" x14ac:dyDescent="0.35"/>
    <row r="11" spans="1:15" ht="15.75" customHeight="1" x14ac:dyDescent="0.3">
      <c r="A11" s="93" t="s">
        <v>261</v>
      </c>
      <c r="C11" s="102" t="s">
        <v>262</v>
      </c>
      <c r="D11" s="103" t="s">
        <v>263</v>
      </c>
      <c r="F11" s="138" t="s">
        <v>264</v>
      </c>
      <c r="G11" s="139"/>
      <c r="H11" s="139"/>
      <c r="I11" s="139"/>
      <c r="J11" s="139"/>
      <c r="K11" s="139"/>
      <c r="L11" s="140"/>
      <c r="M11" s="104"/>
      <c r="N11" s="104"/>
      <c r="O11" s="104"/>
    </row>
    <row r="12" spans="1:15" ht="15.75" customHeight="1" x14ac:dyDescent="0.3">
      <c r="A12" s="105" t="s">
        <v>265</v>
      </c>
      <c r="C12" s="106" t="s">
        <v>266</v>
      </c>
      <c r="D12" s="107">
        <v>7200000</v>
      </c>
      <c r="F12" s="141"/>
      <c r="G12" s="142"/>
      <c r="H12" s="142"/>
      <c r="I12" s="142"/>
      <c r="J12" s="142"/>
      <c r="K12" s="142"/>
      <c r="L12" s="143"/>
      <c r="M12" s="104"/>
      <c r="N12" s="104"/>
      <c r="O12" s="104"/>
    </row>
    <row r="13" spans="1:15" ht="15.75" customHeight="1" x14ac:dyDescent="0.3">
      <c r="A13" s="105" t="s">
        <v>267</v>
      </c>
      <c r="C13" s="106" t="s">
        <v>268</v>
      </c>
      <c r="D13" s="107">
        <v>6100000</v>
      </c>
      <c r="F13" s="144" t="s">
        <v>269</v>
      </c>
      <c r="G13" s="145"/>
      <c r="H13" s="145"/>
      <c r="I13" s="145"/>
      <c r="J13" s="145"/>
      <c r="K13" s="145"/>
      <c r="L13" s="146"/>
      <c r="M13" s="104"/>
      <c r="N13" s="104"/>
      <c r="O13" s="104"/>
    </row>
    <row r="14" spans="1:15" ht="16.2" thickBot="1" x14ac:dyDescent="0.35">
      <c r="A14" s="105" t="s">
        <v>270</v>
      </c>
      <c r="C14" s="108" t="s">
        <v>271</v>
      </c>
      <c r="D14" s="109">
        <v>2400000</v>
      </c>
      <c r="F14" s="147"/>
      <c r="G14" s="148"/>
      <c r="H14" s="148"/>
      <c r="I14" s="148"/>
      <c r="J14" s="148"/>
      <c r="K14" s="148"/>
      <c r="L14" s="149"/>
      <c r="M14" s="110"/>
      <c r="N14" s="110"/>
      <c r="O14" s="110"/>
    </row>
    <row r="15" spans="1:15" ht="16.2" thickBot="1" x14ac:dyDescent="0.35">
      <c r="A15" s="105" t="s">
        <v>272</v>
      </c>
      <c r="C15" s="111"/>
      <c r="D15" s="111"/>
    </row>
    <row r="16" spans="1:15" ht="15.6" x14ac:dyDescent="0.3">
      <c r="C16" s="112" t="s">
        <v>273</v>
      </c>
      <c r="D16" s="113">
        <v>16500000</v>
      </c>
    </row>
    <row r="17" spans="3:4" ht="16.2" thickBot="1" x14ac:dyDescent="0.35">
      <c r="C17" s="114" t="s">
        <v>274</v>
      </c>
      <c r="D17" s="115">
        <f>D16-D12-D13-D14</f>
        <v>800000</v>
      </c>
    </row>
  </sheetData>
  <mergeCells count="2">
    <mergeCell ref="F11:L12"/>
    <mergeCell ref="F13:L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zoomScale="130" zoomScaleNormal="130" workbookViewId="0">
      <selection activeCell="C5" sqref="C5"/>
    </sheetView>
  </sheetViews>
  <sheetFormatPr defaultColWidth="23.33203125" defaultRowHeight="14.4" x14ac:dyDescent="0.3"/>
  <cols>
    <col min="1" max="1" width="72.33203125" style="117" bestFit="1" customWidth="1"/>
    <col min="2" max="2" width="23.33203125" style="117"/>
    <col min="3" max="3" width="9.88671875" style="117" bestFit="1" customWidth="1"/>
    <col min="4" max="4" width="8.6640625" style="117" bestFit="1" customWidth="1"/>
    <col min="5" max="5" width="12.5546875" style="117" bestFit="1" customWidth="1"/>
    <col min="6" max="16384" width="23.33203125" style="117"/>
  </cols>
  <sheetData>
    <row r="1" spans="1:6" ht="36.6" x14ac:dyDescent="0.3">
      <c r="A1" s="116" t="s">
        <v>275</v>
      </c>
    </row>
    <row r="2" spans="1:6" x14ac:dyDescent="0.3">
      <c r="A2" s="118"/>
    </row>
    <row r="3" spans="1:6" ht="72" x14ac:dyDescent="0.3">
      <c r="A3" s="123" t="s">
        <v>276</v>
      </c>
      <c r="B3" s="28"/>
      <c r="C3" s="28"/>
      <c r="D3" s="28"/>
      <c r="E3" s="28"/>
    </row>
    <row r="4" spans="1:6" ht="29.4" thickBot="1" x14ac:dyDescent="0.35">
      <c r="A4" s="123" t="s">
        <v>277</v>
      </c>
      <c r="B4" s="28"/>
      <c r="C4" s="28"/>
      <c r="D4" s="28"/>
      <c r="E4" s="28"/>
      <c r="F4" s="117" t="s">
        <v>344</v>
      </c>
    </row>
    <row r="5" spans="1:6" ht="43.8" thickBot="1" x14ac:dyDescent="0.35">
      <c r="A5" s="119" t="s">
        <v>39</v>
      </c>
      <c r="B5" s="120" t="s">
        <v>278</v>
      </c>
      <c r="C5" s="120" t="s">
        <v>279</v>
      </c>
      <c r="D5" s="120" t="s">
        <v>280</v>
      </c>
      <c r="E5" s="120" t="s">
        <v>281</v>
      </c>
      <c r="F5" s="117" t="s">
        <v>337</v>
      </c>
    </row>
    <row r="6" spans="1:6" ht="15" thickBot="1" x14ac:dyDescent="0.35">
      <c r="A6" s="121" t="s">
        <v>282</v>
      </c>
      <c r="B6" s="122" t="s">
        <v>283</v>
      </c>
      <c r="C6" s="122" t="s">
        <v>284</v>
      </c>
      <c r="D6" s="122">
        <v>6500000</v>
      </c>
      <c r="E6" s="122">
        <v>0.21846153846153801</v>
      </c>
    </row>
    <row r="7" spans="1:6" ht="15" thickBot="1" x14ac:dyDescent="0.35">
      <c r="A7" s="121" t="s">
        <v>285</v>
      </c>
      <c r="B7" s="122" t="s">
        <v>286</v>
      </c>
      <c r="C7" s="122" t="s">
        <v>287</v>
      </c>
      <c r="D7" s="122">
        <v>800000</v>
      </c>
      <c r="E7" s="122">
        <v>3.9E-2</v>
      </c>
    </row>
    <row r="8" spans="1:6" ht="15" thickBot="1" x14ac:dyDescent="0.35">
      <c r="A8" s="121" t="s">
        <v>288</v>
      </c>
      <c r="B8" s="122" t="s">
        <v>289</v>
      </c>
      <c r="C8" s="122" t="s">
        <v>290</v>
      </c>
      <c r="D8" s="122">
        <v>4300000</v>
      </c>
      <c r="E8" s="122">
        <v>3.25581395348837E-2</v>
      </c>
    </row>
    <row r="9" spans="1:6" ht="15" thickBot="1" x14ac:dyDescent="0.35">
      <c r="A9" s="121" t="s">
        <v>291</v>
      </c>
      <c r="B9" s="122" t="s">
        <v>292</v>
      </c>
      <c r="C9" s="122" t="s">
        <v>293</v>
      </c>
      <c r="D9" s="122">
        <v>5600000</v>
      </c>
      <c r="E9" s="122">
        <v>2.1250000000000002E-2</v>
      </c>
    </row>
    <row r="10" spans="1:6" ht="15" thickBot="1" x14ac:dyDescent="0.35">
      <c r="A10" s="121" t="s">
        <v>294</v>
      </c>
      <c r="B10" s="122" t="s">
        <v>295</v>
      </c>
      <c r="C10" s="122" t="s">
        <v>296</v>
      </c>
      <c r="D10" s="122">
        <v>6100000</v>
      </c>
      <c r="E10" s="122">
        <v>1.6885245901639302E-2</v>
      </c>
    </row>
    <row r="11" spans="1:6" ht="15" thickBot="1" x14ac:dyDescent="0.35">
      <c r="A11" s="121" t="s">
        <v>297</v>
      </c>
      <c r="B11" s="122" t="s">
        <v>298</v>
      </c>
      <c r="C11" s="122" t="s">
        <v>299</v>
      </c>
      <c r="D11" s="122">
        <v>5200000</v>
      </c>
      <c r="E11" s="122">
        <v>1.6423076923076901E-2</v>
      </c>
    </row>
    <row r="12" spans="1:6" ht="29.4" thickBot="1" x14ac:dyDescent="0.35">
      <c r="A12" s="121" t="s">
        <v>300</v>
      </c>
      <c r="B12" s="122" t="s">
        <v>301</v>
      </c>
      <c r="C12" s="122" t="s">
        <v>302</v>
      </c>
      <c r="D12" s="122">
        <v>2400000</v>
      </c>
      <c r="E12" s="122">
        <v>1.1791599999999999E-2</v>
      </c>
    </row>
    <row r="13" spans="1:6" ht="15" thickBot="1" x14ac:dyDescent="0.35">
      <c r="A13" s="121" t="s">
        <v>303</v>
      </c>
      <c r="B13" s="122" t="s">
        <v>304</v>
      </c>
      <c r="C13" s="122" t="s">
        <v>305</v>
      </c>
      <c r="D13" s="122">
        <v>7200000</v>
      </c>
      <c r="E13" s="122">
        <v>4.9305555555556003E-3</v>
      </c>
    </row>
    <row r="14" spans="1:6" x14ac:dyDescent="0.3">
      <c r="A14" s="118"/>
    </row>
    <row r="15" spans="1:6" x14ac:dyDescent="0.3">
      <c r="A15" s="117" t="s">
        <v>342</v>
      </c>
      <c r="B15" s="117">
        <v>8</v>
      </c>
      <c r="C15" s="117">
        <v>9</v>
      </c>
      <c r="E15" s="117">
        <v>10</v>
      </c>
      <c r="F15" s="117">
        <v>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8"/>
  <sheetViews>
    <sheetView workbookViewId="0">
      <selection activeCell="B13" sqref="B13"/>
    </sheetView>
  </sheetViews>
  <sheetFormatPr defaultColWidth="9.109375" defaultRowHeight="14.4" x14ac:dyDescent="0.3"/>
  <cols>
    <col min="1" max="1" width="25" style="2" bestFit="1" customWidth="1"/>
    <col min="2" max="2" width="13.6640625" style="2" customWidth="1"/>
    <col min="3" max="16384" width="9.109375" style="2"/>
  </cols>
  <sheetData>
    <row r="1" spans="1:9" x14ac:dyDescent="0.3">
      <c r="A1" s="2" t="s">
        <v>306</v>
      </c>
    </row>
    <row r="2" spans="1:9" x14ac:dyDescent="0.3">
      <c r="A2" s="2" t="s">
        <v>307</v>
      </c>
      <c r="B2" s="2">
        <v>1</v>
      </c>
      <c r="C2" s="129" t="s">
        <v>346</v>
      </c>
      <c r="D2" s="2" t="s">
        <v>348</v>
      </c>
      <c r="E2" s="129" t="s">
        <v>346</v>
      </c>
      <c r="F2" s="129" t="s">
        <v>346</v>
      </c>
      <c r="G2" s="129" t="s">
        <v>346</v>
      </c>
      <c r="H2" s="2">
        <v>0</v>
      </c>
    </row>
    <row r="3" spans="1:9" ht="86.4" x14ac:dyDescent="0.3">
      <c r="B3" s="124" t="s">
        <v>329</v>
      </c>
      <c r="C3" s="130" t="s">
        <v>345</v>
      </c>
      <c r="D3" s="131" t="s">
        <v>347</v>
      </c>
      <c r="E3" s="124" t="s">
        <v>349</v>
      </c>
      <c r="F3" s="124" t="s">
        <v>350</v>
      </c>
      <c r="G3" s="124" t="s">
        <v>352</v>
      </c>
      <c r="H3" s="124" t="s">
        <v>353</v>
      </c>
      <c r="I3" s="124" t="s">
        <v>354</v>
      </c>
    </row>
    <row r="4" spans="1:9" x14ac:dyDescent="0.3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</row>
    <row r="5" spans="1:9" x14ac:dyDescent="0.3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3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</row>
    <row r="7" spans="1:9" x14ac:dyDescent="0.3">
      <c r="A7" s="2" t="s">
        <v>309</v>
      </c>
      <c r="B7" s="125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</row>
    <row r="8" spans="1:9" x14ac:dyDescent="0.3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</row>
    <row r="9" spans="1:9" x14ac:dyDescent="0.3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</row>
    <row r="10" spans="1:9" x14ac:dyDescent="0.3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</row>
    <row r="11" spans="1:9" x14ac:dyDescent="0.3">
      <c r="A11" s="2" t="s">
        <v>313</v>
      </c>
      <c r="B11" s="2" t="s">
        <v>331</v>
      </c>
    </row>
    <row r="12" spans="1:9" x14ac:dyDescent="0.3">
      <c r="A12" s="2" t="s">
        <v>314</v>
      </c>
      <c r="B12" s="2" t="s">
        <v>331</v>
      </c>
    </row>
    <row r="13" spans="1:9" x14ac:dyDescent="0.3">
      <c r="A13" s="2" t="s">
        <v>315</v>
      </c>
      <c r="B13" s="2" t="s">
        <v>331</v>
      </c>
    </row>
    <row r="14" spans="1:9" x14ac:dyDescent="0.3">
      <c r="A14" s="2" t="s">
        <v>316</v>
      </c>
      <c r="B14" s="2" t="s">
        <v>331</v>
      </c>
    </row>
    <row r="15" spans="1:9" x14ac:dyDescent="0.3">
      <c r="A15" s="2" t="s">
        <v>317</v>
      </c>
      <c r="B15" s="2" t="s">
        <v>331</v>
      </c>
    </row>
    <row r="16" spans="1:9" x14ac:dyDescent="0.3">
      <c r="A16" s="2" t="s">
        <v>318</v>
      </c>
      <c r="B16" s="2" t="s">
        <v>331</v>
      </c>
    </row>
    <row r="17" spans="1:9" x14ac:dyDescent="0.3">
      <c r="A17" s="2" t="s">
        <v>330</v>
      </c>
      <c r="B17" s="2">
        <f>'12ofn'!F15</f>
        <v>11</v>
      </c>
      <c r="C17" s="2">
        <v>1</v>
      </c>
      <c r="D17" s="2">
        <v>1</v>
      </c>
      <c r="E17" s="2">
        <v>0</v>
      </c>
      <c r="F17" s="2">
        <v>0</v>
      </c>
      <c r="G17" s="2">
        <v>1</v>
      </c>
      <c r="H17" s="2">
        <v>2</v>
      </c>
      <c r="I17" s="2">
        <v>1</v>
      </c>
    </row>
    <row r="18" spans="1:9" x14ac:dyDescent="0.3">
      <c r="A18" s="2" t="s">
        <v>319</v>
      </c>
    </row>
    <row r="19" spans="1:9" x14ac:dyDescent="0.3">
      <c r="A19" s="2" t="s">
        <v>320</v>
      </c>
    </row>
    <row r="20" spans="1:9" x14ac:dyDescent="0.3">
      <c r="A20" s="2" t="s">
        <v>321</v>
      </c>
    </row>
    <row r="21" spans="1:9" x14ac:dyDescent="0.3">
      <c r="A21" s="2" t="s">
        <v>322</v>
      </c>
    </row>
    <row r="22" spans="1:9" x14ac:dyDescent="0.3">
      <c r="A22" s="2" t="s">
        <v>323</v>
      </c>
    </row>
    <row r="23" spans="1:9" x14ac:dyDescent="0.3">
      <c r="A23" s="2" t="s">
        <v>324</v>
      </c>
    </row>
    <row r="24" spans="1:9" x14ac:dyDescent="0.3">
      <c r="A24" s="2" t="s">
        <v>325</v>
      </c>
    </row>
    <row r="25" spans="1:9" x14ac:dyDescent="0.3">
      <c r="A25" s="2" t="s">
        <v>326</v>
      </c>
    </row>
    <row r="26" spans="1:9" x14ac:dyDescent="0.3">
      <c r="A26" s="2" t="s">
        <v>327</v>
      </c>
    </row>
    <row r="27" spans="1:9" x14ac:dyDescent="0.3">
      <c r="A27" s="2" t="s">
        <v>328</v>
      </c>
    </row>
    <row r="28" spans="1:9" x14ac:dyDescent="0.3">
      <c r="A28" s="2" t="s">
        <v>351</v>
      </c>
      <c r="B28" s="2">
        <v>99</v>
      </c>
      <c r="C28" s="2">
        <v>1</v>
      </c>
      <c r="D28" s="2">
        <v>1</v>
      </c>
      <c r="E28" s="2">
        <v>1</v>
      </c>
      <c r="F28" s="2">
        <v>1</v>
      </c>
      <c r="G28" s="2">
        <v>2</v>
      </c>
      <c r="H28" s="2">
        <v>33</v>
      </c>
      <c r="I28" s="2">
        <v>1</v>
      </c>
    </row>
  </sheetData>
  <hyperlinks>
    <hyperlink ref="B7" location="'2ofn'!H1" display="'2ofn'!H1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8"/>
  <sheetViews>
    <sheetView topLeftCell="A13" workbookViewId="0">
      <selection activeCell="A19" sqref="A19:XFD19"/>
    </sheetView>
  </sheetViews>
  <sheetFormatPr defaultColWidth="9.109375" defaultRowHeight="14.4" x14ac:dyDescent="0.3"/>
  <cols>
    <col min="1" max="1" width="25" style="2" bestFit="1" customWidth="1"/>
    <col min="2" max="2" width="13.6640625" style="2" customWidth="1"/>
    <col min="3" max="10" width="9.109375" style="2"/>
    <col min="11" max="11" width="9.5546875" style="2" bestFit="1" customWidth="1"/>
    <col min="12" max="16384" width="9.109375" style="2"/>
  </cols>
  <sheetData>
    <row r="1" spans="1:11" x14ac:dyDescent="0.3">
      <c r="A1" s="2" t="s">
        <v>306</v>
      </c>
    </row>
    <row r="2" spans="1:11" x14ac:dyDescent="0.3">
      <c r="A2" s="2" t="s">
        <v>307</v>
      </c>
      <c r="B2" s="2">
        <v>1</v>
      </c>
      <c r="C2" s="129">
        <v>0</v>
      </c>
      <c r="D2" s="2">
        <v>0</v>
      </c>
      <c r="E2" s="129">
        <v>0</v>
      </c>
      <c r="F2" s="129">
        <v>0</v>
      </c>
      <c r="G2" s="129">
        <v>0</v>
      </c>
      <c r="H2" s="2">
        <v>0</v>
      </c>
      <c r="I2" s="2">
        <v>0</v>
      </c>
    </row>
    <row r="3" spans="1:11" ht="86.4" x14ac:dyDescent="0.3">
      <c r="B3" s="124" t="s">
        <v>329</v>
      </c>
      <c r="C3" s="130" t="s">
        <v>345</v>
      </c>
      <c r="D3" s="131" t="s">
        <v>347</v>
      </c>
      <c r="E3" s="124" t="s">
        <v>349</v>
      </c>
      <c r="F3" s="124" t="s">
        <v>350</v>
      </c>
      <c r="G3" s="124" t="s">
        <v>352</v>
      </c>
      <c r="H3" s="124" t="s">
        <v>353</v>
      </c>
      <c r="I3" s="124" t="s">
        <v>354</v>
      </c>
      <c r="J3" s="2" t="s">
        <v>355</v>
      </c>
      <c r="K3" s="2" t="s">
        <v>0</v>
      </c>
    </row>
    <row r="4" spans="1:11" x14ac:dyDescent="0.3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1000</v>
      </c>
    </row>
    <row r="5" spans="1:11" x14ac:dyDescent="0.3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1000</v>
      </c>
    </row>
    <row r="6" spans="1:11" x14ac:dyDescent="0.3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  <c r="J6" s="2">
        <v>1000</v>
      </c>
    </row>
    <row r="7" spans="1:11" x14ac:dyDescent="0.3">
      <c r="A7" s="2" t="s">
        <v>309</v>
      </c>
      <c r="B7" s="125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  <c r="J7" s="2">
        <v>1000</v>
      </c>
    </row>
    <row r="8" spans="1:11" x14ac:dyDescent="0.3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  <c r="J8" s="2">
        <v>1000</v>
      </c>
    </row>
    <row r="9" spans="1:11" x14ac:dyDescent="0.3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  <c r="J9" s="2">
        <v>1000</v>
      </c>
    </row>
    <row r="10" spans="1:11" x14ac:dyDescent="0.3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  <c r="J10" s="2">
        <v>1000</v>
      </c>
    </row>
    <row r="11" spans="1:11" x14ac:dyDescent="0.3">
      <c r="A11" s="2" t="s">
        <v>330</v>
      </c>
      <c r="B11" s="2">
        <f>'12ofn'!F15</f>
        <v>11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2</v>
      </c>
      <c r="I11" s="2">
        <v>1</v>
      </c>
      <c r="J11" s="2">
        <v>1000</v>
      </c>
    </row>
    <row r="12" spans="1:11" x14ac:dyDescent="0.3">
      <c r="A12" s="2" t="s">
        <v>351</v>
      </c>
      <c r="B12" s="2">
        <v>99</v>
      </c>
      <c r="C12" s="2">
        <v>1</v>
      </c>
      <c r="D12" s="2">
        <v>1</v>
      </c>
      <c r="E12" s="2">
        <v>1</v>
      </c>
      <c r="F12" s="2">
        <v>1</v>
      </c>
      <c r="G12" s="2">
        <v>2</v>
      </c>
      <c r="H12" s="2">
        <v>33</v>
      </c>
      <c r="I12" s="2">
        <v>1</v>
      </c>
      <c r="J12" s="2">
        <v>1000</v>
      </c>
    </row>
    <row r="14" spans="1:11" ht="86.4" x14ac:dyDescent="0.3">
      <c r="B14" s="124" t="str">
        <f>B3</f>
        <v>A1=képletek/függvények/műveletek/... Száma</v>
      </c>
      <c r="C14" s="124" t="str">
        <f t="shared" ref="C14:J14" si="0">C3</f>
        <v>hátizsák-problémaként értelmezhető-e</v>
      </c>
      <c r="D14" s="124" t="str">
        <f t="shared" si="0"/>
        <v>minél kevesebb a maradvány, annál jobb</v>
      </c>
      <c r="E14" s="124" t="str">
        <f t="shared" si="0"/>
        <v>van-e szubjektív súlyozási lehetőség</v>
      </c>
      <c r="F14" s="124" t="str">
        <f t="shared" si="0"/>
        <v>van-e objektív súlyozási lehetőség</v>
      </c>
      <c r="G14" s="124" t="str">
        <f t="shared" si="0"/>
        <v>ár/teljesítmény index van-e? (árelőny)</v>
      </c>
      <c r="H14" s="124" t="str">
        <f t="shared" si="0"/>
        <v>attribútumok száma</v>
      </c>
      <c r="I14" s="124" t="str">
        <f t="shared" si="0"/>
        <v>ktg adat része-e</v>
      </c>
      <c r="J14" s="124" t="str">
        <f t="shared" si="0"/>
        <v>Y0</v>
      </c>
    </row>
    <row r="15" spans="1:11" x14ac:dyDescent="0.3">
      <c r="A15" s="2" t="str">
        <f>A4</f>
        <v>rnd1</v>
      </c>
      <c r="B15" s="2">
        <f>RANK(B4,B$4:B$12,B$2)</f>
        <v>1</v>
      </c>
      <c r="C15" s="2">
        <f t="shared" ref="C15:I15" si="1">RANK(C4,C$4:C$12,C$2)</f>
        <v>9</v>
      </c>
      <c r="D15" s="2">
        <f t="shared" si="1"/>
        <v>9</v>
      </c>
      <c r="E15" s="2">
        <f t="shared" si="1"/>
        <v>7</v>
      </c>
      <c r="F15" s="2">
        <f t="shared" si="1"/>
        <v>2</v>
      </c>
      <c r="G15" s="2">
        <f t="shared" si="1"/>
        <v>3</v>
      </c>
      <c r="H15" s="2">
        <f t="shared" si="1"/>
        <v>8</v>
      </c>
      <c r="I15" s="2">
        <f t="shared" si="1"/>
        <v>4</v>
      </c>
      <c r="J15" s="124">
        <f t="shared" ref="J15" si="2">J4</f>
        <v>1000</v>
      </c>
    </row>
    <row r="16" spans="1:11" x14ac:dyDescent="0.3">
      <c r="A16" s="2" t="str">
        <f t="shared" ref="A16:A23" si="3">A5</f>
        <v>rnd2</v>
      </c>
      <c r="B16" s="2">
        <f t="shared" ref="B16:I16" si="4">RANK(B5,B$4:B$12,B$2)</f>
        <v>2</v>
      </c>
      <c r="C16" s="2">
        <f t="shared" si="4"/>
        <v>1</v>
      </c>
      <c r="D16" s="2">
        <f t="shared" si="4"/>
        <v>1</v>
      </c>
      <c r="E16" s="2">
        <f t="shared" si="4"/>
        <v>7</v>
      </c>
      <c r="F16" s="2">
        <f t="shared" si="4"/>
        <v>2</v>
      </c>
      <c r="G16" s="2">
        <f t="shared" si="4"/>
        <v>3</v>
      </c>
      <c r="H16" s="2">
        <f t="shared" si="4"/>
        <v>8</v>
      </c>
      <c r="I16" s="2">
        <f t="shared" si="4"/>
        <v>4</v>
      </c>
      <c r="J16" s="124">
        <f t="shared" ref="J16" si="5">J5</f>
        <v>1000</v>
      </c>
    </row>
    <row r="17" spans="1:18" x14ac:dyDescent="0.3">
      <c r="A17" s="2" t="str">
        <f t="shared" si="3"/>
        <v>*ofn_1</v>
      </c>
      <c r="B17" s="2">
        <f t="shared" ref="B17:I17" si="6">RANK(B6,B$4:B$12,B$2)</f>
        <v>4</v>
      </c>
      <c r="C17" s="2">
        <f t="shared" si="6"/>
        <v>1</v>
      </c>
      <c r="D17" s="2">
        <f t="shared" si="6"/>
        <v>1</v>
      </c>
      <c r="E17" s="2">
        <f t="shared" si="6"/>
        <v>1</v>
      </c>
      <c r="F17" s="2">
        <f t="shared" si="6"/>
        <v>2</v>
      </c>
      <c r="G17" s="2">
        <f t="shared" si="6"/>
        <v>3</v>
      </c>
      <c r="H17" s="2">
        <f t="shared" si="6"/>
        <v>4</v>
      </c>
      <c r="I17" s="2">
        <f t="shared" si="6"/>
        <v>1</v>
      </c>
      <c r="J17" s="124">
        <f t="shared" ref="J17" si="7">J6</f>
        <v>1000</v>
      </c>
    </row>
    <row r="18" spans="1:18" x14ac:dyDescent="0.3">
      <c r="A18" s="2" t="str">
        <f t="shared" si="3"/>
        <v>*ofn_2</v>
      </c>
      <c r="B18" s="2">
        <f t="shared" ref="B18:I18" si="8">RANK(B7,B$4:B$12,B$2)</f>
        <v>3</v>
      </c>
      <c r="C18" s="2">
        <f t="shared" si="8"/>
        <v>1</v>
      </c>
      <c r="D18" s="2">
        <f t="shared" si="8"/>
        <v>1</v>
      </c>
      <c r="E18" s="2">
        <f t="shared" si="8"/>
        <v>1</v>
      </c>
      <c r="F18" s="2">
        <f t="shared" si="8"/>
        <v>2</v>
      </c>
      <c r="G18" s="2">
        <f t="shared" si="8"/>
        <v>3</v>
      </c>
      <c r="H18" s="2">
        <f t="shared" si="8"/>
        <v>5</v>
      </c>
      <c r="I18" s="2">
        <f t="shared" si="8"/>
        <v>4</v>
      </c>
      <c r="J18" s="124">
        <f t="shared" ref="J18" si="9">J7</f>
        <v>1000</v>
      </c>
    </row>
    <row r="19" spans="1:18" x14ac:dyDescent="0.3">
      <c r="A19" s="2" t="str">
        <f t="shared" si="3"/>
        <v>*ofn_3</v>
      </c>
      <c r="B19" s="2">
        <f t="shared" ref="B19:I19" si="10">RANK(B8,B$4:B$12,B$2)</f>
        <v>5</v>
      </c>
      <c r="C19" s="2">
        <f t="shared" si="10"/>
        <v>1</v>
      </c>
      <c r="D19" s="2">
        <f t="shared" si="10"/>
        <v>1</v>
      </c>
      <c r="E19" s="2">
        <f t="shared" si="10"/>
        <v>1</v>
      </c>
      <c r="F19" s="2">
        <f t="shared" si="10"/>
        <v>2</v>
      </c>
      <c r="G19" s="2">
        <f t="shared" si="10"/>
        <v>3</v>
      </c>
      <c r="H19" s="2">
        <f t="shared" si="10"/>
        <v>3</v>
      </c>
      <c r="I19" s="2">
        <f t="shared" si="10"/>
        <v>4</v>
      </c>
      <c r="J19" s="124">
        <f t="shared" ref="J19" si="11">J8</f>
        <v>1000</v>
      </c>
    </row>
    <row r="20" spans="1:18" x14ac:dyDescent="0.3">
      <c r="A20" s="2" t="str">
        <f t="shared" si="3"/>
        <v>*ofn_4</v>
      </c>
      <c r="B20" s="2">
        <f t="shared" ref="B20:I20" si="12">RANK(B9,B$4:B$12,B$2)</f>
        <v>8</v>
      </c>
      <c r="C20" s="2">
        <f t="shared" si="12"/>
        <v>1</v>
      </c>
      <c r="D20" s="2">
        <f t="shared" si="12"/>
        <v>1</v>
      </c>
      <c r="E20" s="2">
        <f t="shared" si="12"/>
        <v>1</v>
      </c>
      <c r="F20" s="2">
        <f t="shared" si="12"/>
        <v>2</v>
      </c>
      <c r="G20" s="2">
        <f t="shared" si="12"/>
        <v>3</v>
      </c>
      <c r="H20" s="2">
        <f t="shared" si="12"/>
        <v>2</v>
      </c>
      <c r="I20" s="2">
        <f t="shared" si="12"/>
        <v>4</v>
      </c>
      <c r="J20" s="124">
        <f t="shared" ref="J20" si="13">J9</f>
        <v>1000</v>
      </c>
    </row>
    <row r="21" spans="1:18" x14ac:dyDescent="0.3">
      <c r="A21" s="2" t="str">
        <f t="shared" si="3"/>
        <v>*ofn_5</v>
      </c>
      <c r="B21" s="2">
        <f t="shared" ref="B21:I21" si="14">RANK(B10,B$4:B$12,B$2)</f>
        <v>6</v>
      </c>
      <c r="C21" s="2">
        <f t="shared" si="14"/>
        <v>1</v>
      </c>
      <c r="D21" s="2">
        <f t="shared" si="14"/>
        <v>1</v>
      </c>
      <c r="E21" s="2">
        <f t="shared" si="14"/>
        <v>1</v>
      </c>
      <c r="F21" s="2">
        <f t="shared" si="14"/>
        <v>2</v>
      </c>
      <c r="G21" s="2">
        <f t="shared" si="14"/>
        <v>3</v>
      </c>
      <c r="H21" s="2">
        <f t="shared" si="14"/>
        <v>5</v>
      </c>
      <c r="I21" s="2">
        <f t="shared" si="14"/>
        <v>4</v>
      </c>
      <c r="J21" s="124">
        <f t="shared" ref="J21" si="15">J10</f>
        <v>1000</v>
      </c>
    </row>
    <row r="22" spans="1:18" x14ac:dyDescent="0.3">
      <c r="A22" s="2" t="str">
        <f t="shared" si="3"/>
        <v>*ofn_12</v>
      </c>
      <c r="B22" s="2">
        <f t="shared" ref="B22:I22" si="16">RANK(B11,B$4:B$12,B$2)</f>
        <v>6</v>
      </c>
      <c r="C22" s="2">
        <f t="shared" si="16"/>
        <v>1</v>
      </c>
      <c r="D22" s="2">
        <f t="shared" si="16"/>
        <v>1</v>
      </c>
      <c r="E22" s="2">
        <f t="shared" si="16"/>
        <v>7</v>
      </c>
      <c r="F22" s="2">
        <f t="shared" si="16"/>
        <v>2</v>
      </c>
      <c r="G22" s="2">
        <f t="shared" si="16"/>
        <v>2</v>
      </c>
      <c r="H22" s="2">
        <f t="shared" si="16"/>
        <v>5</v>
      </c>
      <c r="I22" s="2">
        <f t="shared" si="16"/>
        <v>1</v>
      </c>
      <c r="J22" s="124">
        <f t="shared" ref="J22" si="17">J11</f>
        <v>1000</v>
      </c>
    </row>
    <row r="23" spans="1:18" x14ac:dyDescent="0.3">
      <c r="A23" s="2" t="str">
        <f t="shared" si="3"/>
        <v>tananyag</v>
      </c>
      <c r="B23" s="2">
        <f t="shared" ref="B23:I23" si="18">RANK(B12,B$4:B$12,B$2)</f>
        <v>9</v>
      </c>
      <c r="C23" s="2">
        <f t="shared" si="18"/>
        <v>1</v>
      </c>
      <c r="D23" s="2">
        <f t="shared" si="18"/>
        <v>1</v>
      </c>
      <c r="E23" s="2">
        <f t="shared" si="18"/>
        <v>1</v>
      </c>
      <c r="F23" s="2">
        <f t="shared" si="18"/>
        <v>1</v>
      </c>
      <c r="G23" s="2">
        <f t="shared" si="18"/>
        <v>1</v>
      </c>
      <c r="H23" s="2">
        <f t="shared" si="18"/>
        <v>1</v>
      </c>
      <c r="I23" s="2">
        <f t="shared" si="18"/>
        <v>1</v>
      </c>
      <c r="J23" s="124">
        <f t="shared" ref="J23" si="19">J12</f>
        <v>1000</v>
      </c>
    </row>
    <row r="25" spans="1:18" ht="86.4" x14ac:dyDescent="0.3">
      <c r="A25" s="2" t="s">
        <v>356</v>
      </c>
      <c r="B25" s="124" t="str">
        <f>B14</f>
        <v>A1=képletek/függvények/műveletek/... Száma</v>
      </c>
      <c r="C25" s="124" t="str">
        <f t="shared" ref="C25:I25" si="20">C14</f>
        <v>hátizsák-problémaként értelmezhető-e</v>
      </c>
      <c r="D25" s="124" t="str">
        <f t="shared" si="20"/>
        <v>minél kevesebb a maradvány, annál jobb</v>
      </c>
      <c r="E25" s="124" t="str">
        <f t="shared" si="20"/>
        <v>van-e szubjektív súlyozási lehetőség</v>
      </c>
      <c r="F25" s="124" t="str">
        <f t="shared" si="20"/>
        <v>van-e objektív súlyozási lehetőség</v>
      </c>
      <c r="G25" s="124" t="str">
        <f t="shared" si="20"/>
        <v>ár/teljesítmény index van-e? (árelőny)</v>
      </c>
      <c r="H25" s="124" t="str">
        <f t="shared" si="20"/>
        <v>attribútumok száma</v>
      </c>
      <c r="I25" s="124" t="str">
        <f t="shared" si="20"/>
        <v>ktg adat része-e</v>
      </c>
      <c r="L25" s="124" t="str">
        <f>B25</f>
        <v>A1=képletek/függvények/műveletek/... Száma</v>
      </c>
      <c r="M25" s="124" t="str">
        <f t="shared" ref="M25:R25" si="21">C25</f>
        <v>hátizsák-problémaként értelmezhető-e</v>
      </c>
      <c r="N25" s="124" t="str">
        <f t="shared" si="21"/>
        <v>minél kevesebb a maradvány, annál jobb</v>
      </c>
      <c r="O25" s="124" t="str">
        <f t="shared" si="21"/>
        <v>van-e szubjektív súlyozási lehetőség</v>
      </c>
      <c r="P25" s="124" t="str">
        <f t="shared" si="21"/>
        <v>van-e objektív súlyozási lehetőség</v>
      </c>
      <c r="Q25" s="124" t="str">
        <f t="shared" si="21"/>
        <v>ár/teljesítmény index van-e? (árelőny)</v>
      </c>
      <c r="R25" s="124" t="str">
        <f t="shared" si="21"/>
        <v>attribútumok száma</v>
      </c>
    </row>
    <row r="26" spans="1:18" x14ac:dyDescent="0.3">
      <c r="A26" s="2">
        <v>1</v>
      </c>
      <c r="B26" s="134">
        <v>189.8353870626442</v>
      </c>
      <c r="C26" s="134">
        <v>141.13728530245376</v>
      </c>
      <c r="D26" s="134">
        <v>141.13728530245376</v>
      </c>
      <c r="E26" s="134">
        <v>135.43906332679805</v>
      </c>
      <c r="F26" s="134">
        <v>211.22981169088564</v>
      </c>
      <c r="G26" s="134">
        <v>179.70290863500688</v>
      </c>
      <c r="H26" s="134">
        <v>135.90519612683295</v>
      </c>
      <c r="I26" s="134">
        <v>23.697331475794634</v>
      </c>
      <c r="K26" s="2" t="s">
        <v>357</v>
      </c>
      <c r="L26" s="132">
        <f>B26-B27</f>
        <v>97.439346549026439</v>
      </c>
      <c r="M26" s="132">
        <f t="shared" ref="M26:M33" si="22">C26-C27</f>
        <v>0.99999999996032329</v>
      </c>
      <c r="N26" s="132">
        <f t="shared" ref="N26:N33" si="23">D26-D27</f>
        <v>0.99999999996032329</v>
      </c>
      <c r="O26" s="132">
        <f t="shared" ref="O26:O33" si="24">E26-E27</f>
        <v>1.0000000000014495</v>
      </c>
      <c r="P26" s="132">
        <f t="shared" ref="P26:P33" si="25">F26-F27</f>
        <v>0.99999999988580157</v>
      </c>
      <c r="Q26" s="132">
        <f t="shared" ref="Q26:Q33" si="26">G26-G27</f>
        <v>0.99999999905449499</v>
      </c>
      <c r="R26" s="132">
        <f t="shared" ref="R26:R33" si="27">H26-H27</f>
        <v>4.7881224650800505</v>
      </c>
    </row>
    <row r="27" spans="1:18" x14ac:dyDescent="0.3">
      <c r="A27" s="2">
        <v>2</v>
      </c>
      <c r="B27" s="134">
        <v>92.396040513617763</v>
      </c>
      <c r="C27" s="134">
        <v>140.13728530249344</v>
      </c>
      <c r="D27" s="134">
        <v>140.13728530249344</v>
      </c>
      <c r="E27" s="134">
        <v>134.4390633267966</v>
      </c>
      <c r="F27" s="134">
        <v>210.22981169099984</v>
      </c>
      <c r="G27" s="134">
        <v>178.70290863595238</v>
      </c>
      <c r="H27" s="134">
        <v>131.1170736617529</v>
      </c>
      <c r="I27" s="134">
        <v>0</v>
      </c>
      <c r="L27" s="132">
        <f t="shared" ref="L27:L33" si="28">B27-B28</f>
        <v>7.9999969270834583</v>
      </c>
      <c r="M27" s="132">
        <f t="shared" si="22"/>
        <v>0.99999999995989697</v>
      </c>
      <c r="N27" s="132">
        <f t="shared" si="23"/>
        <v>0.99999999995989697</v>
      </c>
      <c r="O27" s="132">
        <f t="shared" si="24"/>
        <v>1.0000000000011937</v>
      </c>
      <c r="P27" s="132">
        <f t="shared" si="25"/>
        <v>54.017959354220096</v>
      </c>
      <c r="Q27" s="132">
        <f t="shared" si="26"/>
        <v>9.0000119333560917</v>
      </c>
      <c r="R27" s="132">
        <f t="shared" si="27"/>
        <v>34.856806814387895</v>
      </c>
    </row>
    <row r="28" spans="1:18" x14ac:dyDescent="0.3">
      <c r="A28" s="2">
        <v>3</v>
      </c>
      <c r="B28" s="134">
        <v>84.396043586534304</v>
      </c>
      <c r="C28" s="134">
        <v>139.13728530253354</v>
      </c>
      <c r="D28" s="134">
        <v>139.13728530253354</v>
      </c>
      <c r="E28" s="134">
        <v>133.43906332679541</v>
      </c>
      <c r="F28" s="134">
        <v>156.21185233677974</v>
      </c>
      <c r="G28" s="134">
        <v>169.70289670259629</v>
      </c>
      <c r="H28" s="134">
        <v>96.260266847365003</v>
      </c>
      <c r="I28" s="134">
        <v>0</v>
      </c>
      <c r="L28" s="132">
        <f t="shared" si="28"/>
        <v>1.000000000813003</v>
      </c>
      <c r="M28" s="132">
        <f t="shared" si="22"/>
        <v>17.53265873729363</v>
      </c>
      <c r="N28" s="132">
        <f t="shared" si="23"/>
        <v>17.53265873729363</v>
      </c>
      <c r="O28" s="132">
        <f t="shared" si="24"/>
        <v>1.0000000000015916</v>
      </c>
      <c r="P28" s="132">
        <f t="shared" si="25"/>
        <v>22.45883604811138</v>
      </c>
      <c r="Q28" s="132">
        <f t="shared" si="26"/>
        <v>35.94988628252176</v>
      </c>
      <c r="R28" s="132">
        <f t="shared" si="27"/>
        <v>0.99999999901514514</v>
      </c>
    </row>
    <row r="29" spans="1:18" x14ac:dyDescent="0.3">
      <c r="A29" s="2">
        <v>4</v>
      </c>
      <c r="B29" s="134">
        <v>83.396043585721301</v>
      </c>
      <c r="C29" s="134">
        <v>121.60462656523991</v>
      </c>
      <c r="D29" s="134">
        <v>121.60462656523991</v>
      </c>
      <c r="E29" s="134">
        <v>132.43906332679381</v>
      </c>
      <c r="F29" s="134">
        <v>133.75301628866836</v>
      </c>
      <c r="G29" s="134">
        <v>133.75301042007453</v>
      </c>
      <c r="H29" s="134">
        <v>95.260266848349858</v>
      </c>
      <c r="I29" s="134">
        <v>24.697339273006428</v>
      </c>
      <c r="L29" s="132">
        <f t="shared" si="28"/>
        <v>1.0000000001991509</v>
      </c>
      <c r="M29" s="132">
        <f t="shared" si="22"/>
        <v>20.029158005615798</v>
      </c>
      <c r="N29" s="132">
        <f t="shared" si="23"/>
        <v>20.029158005615798</v>
      </c>
      <c r="O29" s="132">
        <f t="shared" si="24"/>
        <v>1.0000000000011369</v>
      </c>
      <c r="P29" s="132">
        <f t="shared" si="25"/>
        <v>22.458836048111408</v>
      </c>
      <c r="Q29" s="132">
        <f t="shared" si="26"/>
        <v>22.458835070012384</v>
      </c>
      <c r="R29" s="132">
        <f t="shared" si="27"/>
        <v>1.0000000002866329</v>
      </c>
    </row>
    <row r="30" spans="1:18" x14ac:dyDescent="0.3">
      <c r="A30" s="2">
        <v>5</v>
      </c>
      <c r="B30" s="134">
        <v>82.39604358552215</v>
      </c>
      <c r="C30" s="134">
        <v>101.57546855962411</v>
      </c>
      <c r="D30" s="134">
        <v>101.57546855962411</v>
      </c>
      <c r="E30" s="134">
        <v>131.43906332679268</v>
      </c>
      <c r="F30" s="134">
        <v>111.29418024055695</v>
      </c>
      <c r="G30" s="134">
        <v>111.29417535006215</v>
      </c>
      <c r="H30" s="134">
        <v>94.260266848063225</v>
      </c>
      <c r="I30" s="134">
        <v>0</v>
      </c>
      <c r="L30" s="132">
        <f t="shared" si="28"/>
        <v>1.0000000006601226</v>
      </c>
      <c r="M30" s="132">
        <f t="shared" si="22"/>
        <v>6.1578614261987354</v>
      </c>
      <c r="N30" s="132">
        <f t="shared" si="23"/>
        <v>6.1578614261987354</v>
      </c>
      <c r="O30" s="132">
        <f t="shared" si="24"/>
        <v>1.000000000001279</v>
      </c>
      <c r="P30" s="132">
        <f t="shared" si="25"/>
        <v>22.45883604811138</v>
      </c>
      <c r="Q30" s="132">
        <f t="shared" si="26"/>
        <v>22.458835070012441</v>
      </c>
      <c r="R30" s="132">
        <f t="shared" si="27"/>
        <v>1.0000000000036522</v>
      </c>
    </row>
    <row r="31" spans="1:18" x14ac:dyDescent="0.3">
      <c r="A31" s="2">
        <v>6</v>
      </c>
      <c r="B31" s="134">
        <v>81.396043584862028</v>
      </c>
      <c r="C31" s="134">
        <v>95.417607133425378</v>
      </c>
      <c r="D31" s="134">
        <v>95.417607133425378</v>
      </c>
      <c r="E31" s="134">
        <v>130.4390633267914</v>
      </c>
      <c r="F31" s="134">
        <v>88.835344192445575</v>
      </c>
      <c r="G31" s="134">
        <v>88.835340280049707</v>
      </c>
      <c r="H31" s="134">
        <v>93.260266848059572</v>
      </c>
      <c r="I31" s="134">
        <v>0</v>
      </c>
      <c r="L31" s="132">
        <f t="shared" si="28"/>
        <v>22.136799413485249</v>
      </c>
      <c r="M31" s="132">
        <f t="shared" si="22"/>
        <v>0.99999999993556798</v>
      </c>
      <c r="N31" s="132">
        <f t="shared" si="23"/>
        <v>0.9999999999355822</v>
      </c>
      <c r="O31" s="132">
        <f t="shared" si="24"/>
        <v>1.0000000000013927</v>
      </c>
      <c r="P31" s="132">
        <f t="shared" si="25"/>
        <v>22.458836048111394</v>
      </c>
      <c r="Q31" s="132">
        <f t="shared" si="26"/>
        <v>22.458835070012412</v>
      </c>
      <c r="R31" s="132">
        <f t="shared" si="27"/>
        <v>1.0000000000038227</v>
      </c>
    </row>
    <row r="32" spans="1:18" x14ac:dyDescent="0.3">
      <c r="A32" s="2">
        <v>7</v>
      </c>
      <c r="B32" s="134">
        <v>59.259244171376778</v>
      </c>
      <c r="C32" s="134">
        <v>94.41760713348981</v>
      </c>
      <c r="D32" s="134">
        <v>94.417607133489796</v>
      </c>
      <c r="E32" s="134">
        <v>129.43906332679001</v>
      </c>
      <c r="F32" s="134">
        <v>66.376508144334181</v>
      </c>
      <c r="G32" s="134">
        <v>66.376505210037294</v>
      </c>
      <c r="H32" s="134">
        <v>92.26026684805575</v>
      </c>
      <c r="I32" s="134">
        <v>0</v>
      </c>
      <c r="L32" s="132">
        <f t="shared" si="28"/>
        <v>12.720016842703515</v>
      </c>
      <c r="M32" s="132">
        <f t="shared" si="22"/>
        <v>0.99999999993418953</v>
      </c>
      <c r="N32" s="132">
        <f t="shared" si="23"/>
        <v>0.99999999993417532</v>
      </c>
      <c r="O32" s="132">
        <f t="shared" si="24"/>
        <v>85.521392534699174</v>
      </c>
      <c r="P32" s="132">
        <f t="shared" si="25"/>
        <v>22.458836048111394</v>
      </c>
      <c r="Q32" s="132">
        <f t="shared" si="26"/>
        <v>22.458835070012441</v>
      </c>
      <c r="R32" s="132">
        <f t="shared" si="27"/>
        <v>1.0000000000038369</v>
      </c>
    </row>
    <row r="33" spans="1:18" x14ac:dyDescent="0.3">
      <c r="A33" s="2">
        <v>8</v>
      </c>
      <c r="B33" s="134">
        <v>46.539227328673263</v>
      </c>
      <c r="C33" s="134">
        <v>93.41760713355562</v>
      </c>
      <c r="D33" s="134">
        <v>93.41760713355562</v>
      </c>
      <c r="E33" s="134">
        <v>43.917670792090838</v>
      </c>
      <c r="F33" s="134">
        <v>43.917672096222788</v>
      </c>
      <c r="G33" s="134">
        <v>43.917670140024853</v>
      </c>
      <c r="H33" s="134">
        <v>91.260266848051913</v>
      </c>
      <c r="I33" s="134">
        <v>0</v>
      </c>
      <c r="K33" s="2" t="s">
        <v>358</v>
      </c>
      <c r="L33" s="132">
        <f t="shared" si="28"/>
        <v>14.788133737794279</v>
      </c>
      <c r="M33" s="132">
        <f t="shared" si="22"/>
        <v>0.99999999993279687</v>
      </c>
      <c r="N33" s="132">
        <f t="shared" si="23"/>
        <v>0.99999999993281108</v>
      </c>
      <c r="O33" s="132">
        <f t="shared" si="24"/>
        <v>22.458835396045423</v>
      </c>
      <c r="P33" s="132">
        <f t="shared" si="25"/>
        <v>22.458836048111394</v>
      </c>
      <c r="Q33" s="132">
        <f t="shared" si="26"/>
        <v>22.458835070012427</v>
      </c>
      <c r="R33" s="132">
        <f t="shared" si="27"/>
        <v>69.801430799940519</v>
      </c>
    </row>
    <row r="34" spans="1:18" x14ac:dyDescent="0.3">
      <c r="A34" s="2">
        <v>9</v>
      </c>
      <c r="B34" s="134">
        <v>31.751093590878984</v>
      </c>
      <c r="C34" s="134">
        <v>92.417607133622823</v>
      </c>
      <c r="D34" s="134">
        <v>92.417607133622809</v>
      </c>
      <c r="E34" s="134">
        <v>21.458835396045416</v>
      </c>
      <c r="F34" s="134">
        <v>21.458836048111394</v>
      </c>
      <c r="G34" s="134">
        <v>21.458835070012427</v>
      </c>
      <c r="H34" s="134">
        <v>21.458836048111394</v>
      </c>
      <c r="I34" s="134">
        <v>0</v>
      </c>
    </row>
    <row r="35" spans="1:18" x14ac:dyDescent="0.3">
      <c r="A35" s="2">
        <v>1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</row>
    <row r="37" spans="1:18" ht="86.4" x14ac:dyDescent="0.3">
      <c r="B37" s="124" t="str">
        <f>B25</f>
        <v>A1=képletek/függvények/műveletek/... Száma</v>
      </c>
      <c r="C37" s="124" t="str">
        <f t="shared" ref="C37:I37" si="29">C25</f>
        <v>hátizsák-problémaként értelmezhető-e</v>
      </c>
      <c r="D37" s="124" t="str">
        <f t="shared" si="29"/>
        <v>minél kevesebb a maradvány, annál jobb</v>
      </c>
      <c r="E37" s="124" t="str">
        <f t="shared" si="29"/>
        <v>van-e szubjektív súlyozási lehetőség</v>
      </c>
      <c r="F37" s="124" t="str">
        <f t="shared" si="29"/>
        <v>van-e objektív súlyozási lehetőség</v>
      </c>
      <c r="G37" s="124" t="str">
        <f t="shared" si="29"/>
        <v>ár/teljesítmény index van-e? (árelőny)</v>
      </c>
      <c r="H37" s="124" t="str">
        <f t="shared" si="29"/>
        <v>attribútumok száma</v>
      </c>
      <c r="I37" s="124" t="str">
        <f t="shared" si="29"/>
        <v>ktg adat része-e</v>
      </c>
      <c r="J37" s="124" t="str">
        <f>J14</f>
        <v>Y0</v>
      </c>
      <c r="K37" s="2" t="s">
        <v>359</v>
      </c>
      <c r="L37" s="2" t="s">
        <v>360</v>
      </c>
    </row>
    <row r="38" spans="1:18" x14ac:dyDescent="0.3">
      <c r="A38" s="2" t="str">
        <f>A15</f>
        <v>rnd1</v>
      </c>
      <c r="B38" s="2">
        <f>VLOOKUP(B15,$A$26:$I$34,B$35,0)</f>
        <v>189.8353870626442</v>
      </c>
      <c r="C38" s="2">
        <f t="shared" ref="C38:I38" si="30">VLOOKUP(C15,$A$26:$I$34,C$35,0)</f>
        <v>92.417607133622823</v>
      </c>
      <c r="D38" s="2">
        <f t="shared" si="30"/>
        <v>92.417607133622809</v>
      </c>
      <c r="E38" s="2">
        <f t="shared" si="30"/>
        <v>129.43906332679001</v>
      </c>
      <c r="F38" s="2">
        <f t="shared" si="30"/>
        <v>210.22981169099984</v>
      </c>
      <c r="G38" s="2">
        <f t="shared" si="30"/>
        <v>169.70289670259629</v>
      </c>
      <c r="H38" s="2">
        <f t="shared" si="30"/>
        <v>91.260266848051913</v>
      </c>
      <c r="I38" s="2">
        <f t="shared" si="30"/>
        <v>24.697339273006428</v>
      </c>
      <c r="J38" s="124">
        <f t="shared" ref="J38:J46" si="31">J15</f>
        <v>1000</v>
      </c>
      <c r="K38" s="133">
        <f>SUM(B38:I38)</f>
        <v>999.9999791713343</v>
      </c>
      <c r="L38" s="132">
        <f>J38-K38</f>
        <v>2.0828665697081306E-5</v>
      </c>
    </row>
    <row r="39" spans="1:18" x14ac:dyDescent="0.3">
      <c r="A39" s="2" t="str">
        <f t="shared" ref="A39:A46" si="32">A16</f>
        <v>rnd2</v>
      </c>
      <c r="B39" s="2">
        <f t="shared" ref="B39:I39" si="33">VLOOKUP(B16,$A$26:$I$34,B$35,0)</f>
        <v>92.396040513617763</v>
      </c>
      <c r="C39" s="2">
        <f t="shared" si="33"/>
        <v>141.13728530245376</v>
      </c>
      <c r="D39" s="2">
        <f t="shared" si="33"/>
        <v>141.13728530245376</v>
      </c>
      <c r="E39" s="2">
        <f t="shared" si="33"/>
        <v>129.43906332679001</v>
      </c>
      <c r="F39" s="2">
        <f t="shared" si="33"/>
        <v>210.22981169099984</v>
      </c>
      <c r="G39" s="2">
        <f t="shared" si="33"/>
        <v>169.70289670259629</v>
      </c>
      <c r="H39" s="2">
        <f t="shared" si="33"/>
        <v>91.260266848051913</v>
      </c>
      <c r="I39" s="2">
        <f t="shared" si="33"/>
        <v>24.697339273006428</v>
      </c>
      <c r="J39" s="124">
        <f t="shared" si="31"/>
        <v>1000</v>
      </c>
      <c r="K39" s="133">
        <f t="shared" ref="K39:K46" si="34">SUM(B39:I39)</f>
        <v>999.99998895996976</v>
      </c>
      <c r="L39" s="132">
        <f t="shared" ref="L39:L46" si="35">J39-K39</f>
        <v>1.1040030244657828E-5</v>
      </c>
    </row>
    <row r="40" spans="1:18" x14ac:dyDescent="0.3">
      <c r="A40" s="2" t="str">
        <f t="shared" si="32"/>
        <v>*ofn_1</v>
      </c>
      <c r="B40" s="2">
        <f t="shared" ref="B40:I40" si="36">VLOOKUP(B17,$A$26:$I$34,B$35,0)</f>
        <v>83.396043585721301</v>
      </c>
      <c r="C40" s="2">
        <f t="shared" si="36"/>
        <v>141.13728530245376</v>
      </c>
      <c r="D40" s="2">
        <f t="shared" si="36"/>
        <v>141.13728530245376</v>
      </c>
      <c r="E40" s="2">
        <f t="shared" si="36"/>
        <v>135.43906332679805</v>
      </c>
      <c r="F40" s="2">
        <f t="shared" si="36"/>
        <v>210.22981169099984</v>
      </c>
      <c r="G40" s="2">
        <f t="shared" si="36"/>
        <v>169.70289670259629</v>
      </c>
      <c r="H40" s="2">
        <f t="shared" si="36"/>
        <v>95.260266848349858</v>
      </c>
      <c r="I40" s="2">
        <f t="shared" si="36"/>
        <v>23.697331475794634</v>
      </c>
      <c r="J40" s="124">
        <f t="shared" si="31"/>
        <v>1000</v>
      </c>
      <c r="K40" s="133">
        <f t="shared" si="34"/>
        <v>999.99998423516752</v>
      </c>
      <c r="L40" s="132">
        <f t="shared" si="35"/>
        <v>1.5764832483000646E-5</v>
      </c>
    </row>
    <row r="41" spans="1:18" x14ac:dyDescent="0.3">
      <c r="A41" s="2" t="str">
        <f t="shared" si="32"/>
        <v>*ofn_2</v>
      </c>
      <c r="B41" s="2">
        <f t="shared" ref="B41:I41" si="37">VLOOKUP(B18,$A$26:$I$34,B$35,0)</f>
        <v>84.396043586534304</v>
      </c>
      <c r="C41" s="2">
        <f t="shared" si="37"/>
        <v>141.13728530245376</v>
      </c>
      <c r="D41" s="2">
        <f t="shared" si="37"/>
        <v>141.13728530245376</v>
      </c>
      <c r="E41" s="2">
        <f t="shared" si="37"/>
        <v>135.43906332679805</v>
      </c>
      <c r="F41" s="2">
        <f t="shared" si="37"/>
        <v>210.22981169099984</v>
      </c>
      <c r="G41" s="2">
        <f t="shared" si="37"/>
        <v>169.70289670259629</v>
      </c>
      <c r="H41" s="2">
        <f t="shared" si="37"/>
        <v>94.260266848063225</v>
      </c>
      <c r="I41" s="2">
        <f t="shared" si="37"/>
        <v>24.697339273006428</v>
      </c>
      <c r="J41" s="124">
        <f t="shared" si="31"/>
        <v>1000</v>
      </c>
      <c r="K41" s="133">
        <f t="shared" si="34"/>
        <v>1000.9999920329055</v>
      </c>
      <c r="L41" s="132">
        <f t="shared" si="35"/>
        <v>-0.99999203290553851</v>
      </c>
    </row>
    <row r="42" spans="1:18" x14ac:dyDescent="0.3">
      <c r="A42" s="2" t="str">
        <f t="shared" si="32"/>
        <v>*ofn_3</v>
      </c>
      <c r="B42" s="2">
        <f t="shared" ref="B42:I42" si="38">VLOOKUP(B19,$A$26:$I$34,B$35,0)</f>
        <v>82.39604358552215</v>
      </c>
      <c r="C42" s="2">
        <f t="shared" si="38"/>
        <v>141.13728530245376</v>
      </c>
      <c r="D42" s="2">
        <f t="shared" si="38"/>
        <v>141.13728530245376</v>
      </c>
      <c r="E42" s="2">
        <f t="shared" si="38"/>
        <v>135.43906332679805</v>
      </c>
      <c r="F42" s="2">
        <f t="shared" si="38"/>
        <v>210.22981169099984</v>
      </c>
      <c r="G42" s="2">
        <f t="shared" si="38"/>
        <v>169.70289670259629</v>
      </c>
      <c r="H42" s="2">
        <f t="shared" si="38"/>
        <v>96.260266847365003</v>
      </c>
      <c r="I42" s="2">
        <f t="shared" si="38"/>
        <v>24.697339273006428</v>
      </c>
      <c r="J42" s="124">
        <f t="shared" si="31"/>
        <v>1000</v>
      </c>
      <c r="K42" s="133">
        <f t="shared" si="34"/>
        <v>1000.9999920311952</v>
      </c>
      <c r="L42" s="132">
        <f t="shared" si="35"/>
        <v>-0.99999203119523372</v>
      </c>
    </row>
    <row r="43" spans="1:18" x14ac:dyDescent="0.3">
      <c r="A43" s="2" t="str">
        <f t="shared" si="32"/>
        <v>*ofn_4</v>
      </c>
      <c r="B43" s="2">
        <f t="shared" ref="B43:I43" si="39">VLOOKUP(B20,$A$26:$I$34,B$35,0)</f>
        <v>46.539227328673263</v>
      </c>
      <c r="C43" s="2">
        <f t="shared" si="39"/>
        <v>141.13728530245376</v>
      </c>
      <c r="D43" s="2">
        <f t="shared" si="39"/>
        <v>141.13728530245376</v>
      </c>
      <c r="E43" s="2">
        <f t="shared" si="39"/>
        <v>135.43906332679805</v>
      </c>
      <c r="F43" s="2">
        <f t="shared" si="39"/>
        <v>210.22981169099984</v>
      </c>
      <c r="G43" s="2">
        <f t="shared" si="39"/>
        <v>169.70289670259629</v>
      </c>
      <c r="H43" s="2">
        <f t="shared" si="39"/>
        <v>131.1170736617529</v>
      </c>
      <c r="I43" s="2">
        <f t="shared" si="39"/>
        <v>24.697339273006428</v>
      </c>
      <c r="J43" s="124">
        <f t="shared" si="31"/>
        <v>1000</v>
      </c>
      <c r="K43" s="133">
        <f t="shared" si="34"/>
        <v>999.99998258873416</v>
      </c>
      <c r="L43" s="132">
        <f t="shared" si="35"/>
        <v>1.7411265844202717E-5</v>
      </c>
    </row>
    <row r="44" spans="1:18" x14ac:dyDescent="0.3">
      <c r="A44" s="2" t="str">
        <f t="shared" si="32"/>
        <v>*ofn_5</v>
      </c>
      <c r="B44" s="2">
        <f t="shared" ref="B44:I44" si="40">VLOOKUP(B21,$A$26:$I$34,B$35,0)</f>
        <v>81.396043584862028</v>
      </c>
      <c r="C44" s="2">
        <f t="shared" si="40"/>
        <v>141.13728530245376</v>
      </c>
      <c r="D44" s="2">
        <f t="shared" si="40"/>
        <v>141.13728530245376</v>
      </c>
      <c r="E44" s="2">
        <f t="shared" si="40"/>
        <v>135.43906332679805</v>
      </c>
      <c r="F44" s="2">
        <f t="shared" si="40"/>
        <v>210.22981169099984</v>
      </c>
      <c r="G44" s="2">
        <f t="shared" si="40"/>
        <v>169.70289670259629</v>
      </c>
      <c r="H44" s="2">
        <f t="shared" si="40"/>
        <v>94.260266848063225</v>
      </c>
      <c r="I44" s="2">
        <f t="shared" si="40"/>
        <v>24.697339273006428</v>
      </c>
      <c r="J44" s="124">
        <f t="shared" si="31"/>
        <v>1000</v>
      </c>
      <c r="K44" s="133">
        <f t="shared" si="34"/>
        <v>997.99999203123343</v>
      </c>
      <c r="L44" s="132">
        <f t="shared" si="35"/>
        <v>2.0000079687665675</v>
      </c>
    </row>
    <row r="45" spans="1:18" x14ac:dyDescent="0.3">
      <c r="A45" s="2" t="str">
        <f t="shared" si="32"/>
        <v>*ofn_12</v>
      </c>
      <c r="B45" s="2">
        <f t="shared" ref="B45:I45" si="41">VLOOKUP(B22,$A$26:$I$34,B$35,0)</f>
        <v>81.396043584862028</v>
      </c>
      <c r="C45" s="2">
        <f t="shared" si="41"/>
        <v>141.13728530245376</v>
      </c>
      <c r="D45" s="2">
        <f t="shared" si="41"/>
        <v>141.13728530245376</v>
      </c>
      <c r="E45" s="2">
        <f t="shared" si="41"/>
        <v>129.43906332679001</v>
      </c>
      <c r="F45" s="2">
        <f t="shared" si="41"/>
        <v>210.22981169099984</v>
      </c>
      <c r="G45" s="2">
        <f t="shared" si="41"/>
        <v>178.70290863595238</v>
      </c>
      <c r="H45" s="2">
        <f t="shared" si="41"/>
        <v>94.260266848063225</v>
      </c>
      <c r="I45" s="2">
        <f t="shared" si="41"/>
        <v>23.697331475794634</v>
      </c>
      <c r="J45" s="124">
        <f t="shared" si="31"/>
        <v>1000</v>
      </c>
      <c r="K45" s="133">
        <f t="shared" si="34"/>
        <v>999.99999616736955</v>
      </c>
      <c r="L45" s="132">
        <f t="shared" si="35"/>
        <v>3.8326304547808832E-6</v>
      </c>
    </row>
    <row r="46" spans="1:18" x14ac:dyDescent="0.3">
      <c r="A46" s="2" t="str">
        <f t="shared" si="32"/>
        <v>tananyag</v>
      </c>
      <c r="B46" s="2">
        <f t="shared" ref="B46:I46" si="42">VLOOKUP(B23,$A$26:$I$34,B$35,0)</f>
        <v>31.751093590878984</v>
      </c>
      <c r="C46" s="2">
        <f t="shared" si="42"/>
        <v>141.13728530245376</v>
      </c>
      <c r="D46" s="2">
        <f t="shared" si="42"/>
        <v>141.13728530245376</v>
      </c>
      <c r="E46" s="2">
        <f t="shared" si="42"/>
        <v>135.43906332679805</v>
      </c>
      <c r="F46" s="2">
        <f t="shared" si="42"/>
        <v>211.22981169088564</v>
      </c>
      <c r="G46" s="2">
        <f t="shared" si="42"/>
        <v>179.70290863500688</v>
      </c>
      <c r="H46" s="2">
        <f t="shared" si="42"/>
        <v>135.90519612683295</v>
      </c>
      <c r="I46" s="2">
        <f t="shared" si="42"/>
        <v>23.697331475794634</v>
      </c>
      <c r="J46" s="124">
        <f t="shared" si="31"/>
        <v>1000</v>
      </c>
      <c r="K46" s="133">
        <f t="shared" si="34"/>
        <v>999.99997545110466</v>
      </c>
      <c r="L46" s="132">
        <f t="shared" si="35"/>
        <v>2.454889533964888E-5</v>
      </c>
    </row>
    <row r="47" spans="1:18" x14ac:dyDescent="0.3">
      <c r="L47" s="132"/>
    </row>
    <row r="48" spans="1:18" x14ac:dyDescent="0.3">
      <c r="L48" s="132">
        <f>SUMSQ(L38:L46)</f>
        <v>6.0000000051830273</v>
      </c>
    </row>
  </sheetData>
  <conditionalFormatting sqref="B15: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7" location="'2ofn'!H1" display="'2ofn'!H1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48"/>
  <sheetViews>
    <sheetView topLeftCell="A22" workbookViewId="0">
      <selection activeCell="B37" sqref="B37"/>
    </sheetView>
  </sheetViews>
  <sheetFormatPr defaultColWidth="9.109375" defaultRowHeight="14.4" x14ac:dyDescent="0.3"/>
  <cols>
    <col min="1" max="1" width="25" style="2" bestFit="1" customWidth="1"/>
    <col min="2" max="2" width="13.6640625" style="2" customWidth="1"/>
    <col min="3" max="8" width="10.5546875" style="2" bestFit="1" customWidth="1"/>
    <col min="9" max="9" width="9.5546875" style="2" bestFit="1" customWidth="1"/>
    <col min="10" max="10" width="9.109375" style="2"/>
    <col min="11" max="11" width="13.6640625" style="2" bestFit="1" customWidth="1"/>
    <col min="12" max="16384" width="9.109375" style="2"/>
  </cols>
  <sheetData>
    <row r="1" spans="1:11" x14ac:dyDescent="0.3">
      <c r="A1" s="2" t="s">
        <v>306</v>
      </c>
    </row>
    <row r="2" spans="1:11" x14ac:dyDescent="0.3">
      <c r="A2" s="2" t="s">
        <v>307</v>
      </c>
      <c r="B2" s="2">
        <v>1</v>
      </c>
      <c r="C2" s="129">
        <v>0</v>
      </c>
      <c r="D2" s="2">
        <v>0</v>
      </c>
      <c r="E2" s="129">
        <v>0</v>
      </c>
      <c r="F2" s="129">
        <v>0</v>
      </c>
      <c r="G2" s="129">
        <v>0</v>
      </c>
      <c r="H2" s="2">
        <v>0</v>
      </c>
      <c r="I2" s="2">
        <v>0</v>
      </c>
    </row>
    <row r="3" spans="1:11" ht="72" x14ac:dyDescent="0.3">
      <c r="B3" s="124" t="s">
        <v>329</v>
      </c>
      <c r="C3" s="130" t="s">
        <v>345</v>
      </c>
      <c r="D3" s="131" t="s">
        <v>347</v>
      </c>
      <c r="E3" s="124" t="s">
        <v>349</v>
      </c>
      <c r="F3" s="124" t="s">
        <v>350</v>
      </c>
      <c r="G3" s="124" t="s">
        <v>352</v>
      </c>
      <c r="H3" s="124" t="s">
        <v>353</v>
      </c>
      <c r="I3" s="124" t="s">
        <v>354</v>
      </c>
      <c r="J3" s="2" t="s">
        <v>355</v>
      </c>
      <c r="K3" s="2" t="s">
        <v>0</v>
      </c>
    </row>
    <row r="4" spans="1:11" x14ac:dyDescent="0.3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1000</v>
      </c>
    </row>
    <row r="5" spans="1:11" x14ac:dyDescent="0.3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1000</v>
      </c>
    </row>
    <row r="6" spans="1:11" x14ac:dyDescent="0.3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  <c r="J6" s="2">
        <v>1000</v>
      </c>
    </row>
    <row r="7" spans="1:11" x14ac:dyDescent="0.3">
      <c r="A7" s="2" t="s">
        <v>309</v>
      </c>
      <c r="B7" s="125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  <c r="J7" s="2">
        <v>1000</v>
      </c>
    </row>
    <row r="8" spans="1:11" x14ac:dyDescent="0.3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  <c r="J8" s="2">
        <v>1000</v>
      </c>
    </row>
    <row r="9" spans="1:11" x14ac:dyDescent="0.3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  <c r="J9" s="2">
        <v>1000</v>
      </c>
    </row>
    <row r="10" spans="1:11" x14ac:dyDescent="0.3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  <c r="J10" s="2">
        <v>1000</v>
      </c>
    </row>
    <row r="11" spans="1:11" x14ac:dyDescent="0.3">
      <c r="A11" s="2" t="s">
        <v>330</v>
      </c>
      <c r="B11" s="2">
        <f>'12ofn'!F15</f>
        <v>11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2</v>
      </c>
      <c r="I11" s="2">
        <v>1</v>
      </c>
      <c r="J11" s="2">
        <v>1000</v>
      </c>
    </row>
    <row r="12" spans="1:11" x14ac:dyDescent="0.3">
      <c r="A12" s="2" t="s">
        <v>351</v>
      </c>
      <c r="B12" s="2">
        <v>99</v>
      </c>
      <c r="C12" s="2">
        <v>1</v>
      </c>
      <c r="D12" s="2">
        <v>1</v>
      </c>
      <c r="E12" s="2">
        <v>1</v>
      </c>
      <c r="F12" s="2">
        <v>1</v>
      </c>
      <c r="G12" s="2">
        <v>2</v>
      </c>
      <c r="H12" s="2">
        <v>33</v>
      </c>
      <c r="I12" s="2">
        <v>1</v>
      </c>
      <c r="J12" s="2">
        <v>1000</v>
      </c>
    </row>
    <row r="14" spans="1:11" ht="72" x14ac:dyDescent="0.3">
      <c r="B14" s="124" t="str">
        <f>B3</f>
        <v>A1=képletek/függvények/műveletek/... Száma</v>
      </c>
      <c r="C14" s="124" t="str">
        <f t="shared" ref="C14:J23" si="0">C3</f>
        <v>hátizsák-problémaként értelmezhető-e</v>
      </c>
      <c r="D14" s="124" t="str">
        <f t="shared" si="0"/>
        <v>minél kevesebb a maradvány, annál jobb</v>
      </c>
      <c r="E14" s="124" t="str">
        <f t="shared" si="0"/>
        <v>van-e szubjektív súlyozási lehetőség</v>
      </c>
      <c r="F14" s="124" t="str">
        <f t="shared" si="0"/>
        <v>van-e objektív súlyozási lehetőség</v>
      </c>
      <c r="G14" s="124" t="str">
        <f t="shared" si="0"/>
        <v>ár/teljesítmény index van-e? (árelőny)</v>
      </c>
      <c r="H14" s="124" t="str">
        <f t="shared" si="0"/>
        <v>attribútumok száma</v>
      </c>
      <c r="I14" s="124" t="str">
        <f t="shared" si="0"/>
        <v>ktg adat része-e</v>
      </c>
      <c r="J14" s="124" t="str">
        <f t="shared" si="0"/>
        <v>Y0</v>
      </c>
    </row>
    <row r="15" spans="1:11" x14ac:dyDescent="0.3">
      <c r="A15" s="2" t="str">
        <f>A4</f>
        <v>rnd1</v>
      </c>
      <c r="B15" s="2">
        <f>RANK(B4,B$4:B$12,B$2)</f>
        <v>1</v>
      </c>
      <c r="C15" s="2">
        <f t="shared" ref="C15:I15" si="1">RANK(C4,C$4:C$12,C$2)</f>
        <v>9</v>
      </c>
      <c r="D15" s="2">
        <f t="shared" si="1"/>
        <v>9</v>
      </c>
      <c r="E15" s="2">
        <f t="shared" si="1"/>
        <v>7</v>
      </c>
      <c r="F15" s="2">
        <f t="shared" si="1"/>
        <v>2</v>
      </c>
      <c r="G15" s="2">
        <f t="shared" si="1"/>
        <v>3</v>
      </c>
      <c r="H15" s="2">
        <f t="shared" si="1"/>
        <v>8</v>
      </c>
      <c r="I15" s="2">
        <f t="shared" si="1"/>
        <v>4</v>
      </c>
      <c r="J15" s="124">
        <f t="shared" si="0"/>
        <v>1000</v>
      </c>
    </row>
    <row r="16" spans="1:11" x14ac:dyDescent="0.3">
      <c r="A16" s="2" t="str">
        <f t="shared" ref="A16:A23" si="2">A5</f>
        <v>rnd2</v>
      </c>
      <c r="B16" s="2">
        <f t="shared" ref="B16:I23" si="3">RANK(B5,B$4:B$12,B$2)</f>
        <v>2</v>
      </c>
      <c r="C16" s="2">
        <f t="shared" si="3"/>
        <v>1</v>
      </c>
      <c r="D16" s="2">
        <f t="shared" si="3"/>
        <v>1</v>
      </c>
      <c r="E16" s="2">
        <f t="shared" si="3"/>
        <v>7</v>
      </c>
      <c r="F16" s="2">
        <f t="shared" si="3"/>
        <v>2</v>
      </c>
      <c r="G16" s="2">
        <f t="shared" si="3"/>
        <v>3</v>
      </c>
      <c r="H16" s="2">
        <f t="shared" si="3"/>
        <v>8</v>
      </c>
      <c r="I16" s="2">
        <f t="shared" si="3"/>
        <v>4</v>
      </c>
      <c r="J16" s="124">
        <f t="shared" si="0"/>
        <v>1000</v>
      </c>
    </row>
    <row r="17" spans="1:18" x14ac:dyDescent="0.3">
      <c r="A17" s="2" t="str">
        <f t="shared" si="2"/>
        <v>*ofn_1</v>
      </c>
      <c r="B17" s="2">
        <f t="shared" si="3"/>
        <v>4</v>
      </c>
      <c r="C17" s="2">
        <f t="shared" si="3"/>
        <v>1</v>
      </c>
      <c r="D17" s="2">
        <f t="shared" si="3"/>
        <v>1</v>
      </c>
      <c r="E17" s="2">
        <f t="shared" si="3"/>
        <v>1</v>
      </c>
      <c r="F17" s="2">
        <f t="shared" si="3"/>
        <v>2</v>
      </c>
      <c r="G17" s="2">
        <f t="shared" si="3"/>
        <v>3</v>
      </c>
      <c r="H17" s="2">
        <f t="shared" si="3"/>
        <v>4</v>
      </c>
      <c r="I17" s="2">
        <f t="shared" si="3"/>
        <v>1</v>
      </c>
      <c r="J17" s="124">
        <f t="shared" si="0"/>
        <v>1000</v>
      </c>
    </row>
    <row r="18" spans="1:18" x14ac:dyDescent="0.3">
      <c r="A18" s="2" t="str">
        <f t="shared" si="2"/>
        <v>*ofn_2</v>
      </c>
      <c r="B18" s="2">
        <f t="shared" si="3"/>
        <v>3</v>
      </c>
      <c r="C18" s="2">
        <f t="shared" si="3"/>
        <v>1</v>
      </c>
      <c r="D18" s="2">
        <f t="shared" si="3"/>
        <v>1</v>
      </c>
      <c r="E18" s="2">
        <f t="shared" si="3"/>
        <v>1</v>
      </c>
      <c r="F18" s="2">
        <f t="shared" si="3"/>
        <v>2</v>
      </c>
      <c r="G18" s="2">
        <f t="shared" si="3"/>
        <v>3</v>
      </c>
      <c r="H18" s="2">
        <f t="shared" si="3"/>
        <v>5</v>
      </c>
      <c r="I18" s="2">
        <f t="shared" si="3"/>
        <v>4</v>
      </c>
      <c r="J18" s="124">
        <f t="shared" si="0"/>
        <v>1000</v>
      </c>
    </row>
    <row r="19" spans="1:18" x14ac:dyDescent="0.3">
      <c r="A19" s="2" t="str">
        <f t="shared" si="2"/>
        <v>*ofn_3</v>
      </c>
      <c r="B19" s="2">
        <f t="shared" si="3"/>
        <v>5</v>
      </c>
      <c r="C19" s="2">
        <f t="shared" si="3"/>
        <v>1</v>
      </c>
      <c r="D19" s="2">
        <f t="shared" si="3"/>
        <v>1</v>
      </c>
      <c r="E19" s="2">
        <f t="shared" si="3"/>
        <v>1</v>
      </c>
      <c r="F19" s="2">
        <f t="shared" si="3"/>
        <v>2</v>
      </c>
      <c r="G19" s="2">
        <f t="shared" si="3"/>
        <v>3</v>
      </c>
      <c r="H19" s="2">
        <f t="shared" si="3"/>
        <v>3</v>
      </c>
      <c r="I19" s="2">
        <f t="shared" si="3"/>
        <v>4</v>
      </c>
      <c r="J19" s="124">
        <f t="shared" si="0"/>
        <v>1000</v>
      </c>
    </row>
    <row r="20" spans="1:18" x14ac:dyDescent="0.3">
      <c r="A20" s="2" t="str">
        <f t="shared" si="2"/>
        <v>*ofn_4</v>
      </c>
      <c r="B20" s="2">
        <f t="shared" si="3"/>
        <v>8</v>
      </c>
      <c r="C20" s="2">
        <f t="shared" si="3"/>
        <v>1</v>
      </c>
      <c r="D20" s="2">
        <f t="shared" si="3"/>
        <v>1</v>
      </c>
      <c r="E20" s="2">
        <f t="shared" si="3"/>
        <v>1</v>
      </c>
      <c r="F20" s="2">
        <f t="shared" si="3"/>
        <v>2</v>
      </c>
      <c r="G20" s="2">
        <f t="shared" si="3"/>
        <v>3</v>
      </c>
      <c r="H20" s="2">
        <f t="shared" si="3"/>
        <v>2</v>
      </c>
      <c r="I20" s="2">
        <f t="shared" si="3"/>
        <v>4</v>
      </c>
      <c r="J20" s="124">
        <f t="shared" si="0"/>
        <v>1000</v>
      </c>
    </row>
    <row r="21" spans="1:18" x14ac:dyDescent="0.3">
      <c r="A21" s="2" t="str">
        <f t="shared" si="2"/>
        <v>*ofn_5</v>
      </c>
      <c r="B21" s="2">
        <f t="shared" si="3"/>
        <v>6</v>
      </c>
      <c r="C21" s="2">
        <f t="shared" si="3"/>
        <v>1</v>
      </c>
      <c r="D21" s="2">
        <f t="shared" si="3"/>
        <v>1</v>
      </c>
      <c r="E21" s="2">
        <f t="shared" si="3"/>
        <v>1</v>
      </c>
      <c r="F21" s="2">
        <f t="shared" si="3"/>
        <v>2</v>
      </c>
      <c r="G21" s="2">
        <f t="shared" si="3"/>
        <v>3</v>
      </c>
      <c r="H21" s="2">
        <f t="shared" si="3"/>
        <v>5</v>
      </c>
      <c r="I21" s="2">
        <f t="shared" si="3"/>
        <v>4</v>
      </c>
      <c r="J21" s="124">
        <f t="shared" si="0"/>
        <v>1000</v>
      </c>
    </row>
    <row r="22" spans="1:18" x14ac:dyDescent="0.3">
      <c r="A22" s="2" t="str">
        <f t="shared" si="2"/>
        <v>*ofn_12</v>
      </c>
      <c r="B22" s="2">
        <f t="shared" si="3"/>
        <v>6</v>
      </c>
      <c r="C22" s="2">
        <f t="shared" si="3"/>
        <v>1</v>
      </c>
      <c r="D22" s="2">
        <f t="shared" si="3"/>
        <v>1</v>
      </c>
      <c r="E22" s="2">
        <f t="shared" si="3"/>
        <v>7</v>
      </c>
      <c r="F22" s="2">
        <f t="shared" si="3"/>
        <v>2</v>
      </c>
      <c r="G22" s="2">
        <f t="shared" si="3"/>
        <v>2</v>
      </c>
      <c r="H22" s="2">
        <f t="shared" si="3"/>
        <v>5</v>
      </c>
      <c r="I22" s="2">
        <f t="shared" si="3"/>
        <v>1</v>
      </c>
      <c r="J22" s="124">
        <f t="shared" si="0"/>
        <v>1000</v>
      </c>
    </row>
    <row r="23" spans="1:18" x14ac:dyDescent="0.3">
      <c r="A23" s="2" t="str">
        <f t="shared" si="2"/>
        <v>tananyag</v>
      </c>
      <c r="B23" s="2">
        <f t="shared" si="3"/>
        <v>9</v>
      </c>
      <c r="C23" s="2">
        <f t="shared" si="3"/>
        <v>1</v>
      </c>
      <c r="D23" s="2">
        <f t="shared" si="3"/>
        <v>1</v>
      </c>
      <c r="E23" s="2">
        <f t="shared" si="3"/>
        <v>1</v>
      </c>
      <c r="F23" s="2">
        <f t="shared" si="3"/>
        <v>1</v>
      </c>
      <c r="G23" s="2">
        <f t="shared" si="3"/>
        <v>1</v>
      </c>
      <c r="H23" s="2">
        <f t="shared" si="3"/>
        <v>1</v>
      </c>
      <c r="I23" s="2">
        <f t="shared" si="3"/>
        <v>1</v>
      </c>
      <c r="J23" s="124">
        <f t="shared" si="0"/>
        <v>1000</v>
      </c>
    </row>
    <row r="25" spans="1:18" ht="86.4" x14ac:dyDescent="0.3">
      <c r="A25" s="2" t="s">
        <v>356</v>
      </c>
      <c r="B25" s="124" t="str">
        <f>B14</f>
        <v>A1=képletek/függvények/műveletek/... Száma</v>
      </c>
      <c r="C25" s="124" t="str">
        <f t="shared" ref="C25:I25" si="4">C14</f>
        <v>hátizsák-problémaként értelmezhető-e</v>
      </c>
      <c r="D25" s="124" t="str">
        <f t="shared" si="4"/>
        <v>minél kevesebb a maradvány, annál jobb</v>
      </c>
      <c r="E25" s="124" t="str">
        <f t="shared" si="4"/>
        <v>van-e szubjektív súlyozási lehetőség</v>
      </c>
      <c r="F25" s="124" t="str">
        <f t="shared" si="4"/>
        <v>van-e objektív súlyozási lehetőség</v>
      </c>
      <c r="G25" s="124" t="str">
        <f t="shared" si="4"/>
        <v>ár/teljesítmény index van-e? (árelőny)</v>
      </c>
      <c r="H25" s="124" t="str">
        <f t="shared" si="4"/>
        <v>attribútumok száma</v>
      </c>
      <c r="I25" s="124" t="str">
        <f t="shared" si="4"/>
        <v>ktg adat része-e</v>
      </c>
      <c r="L25" s="124" t="str">
        <f>B25</f>
        <v>A1=képletek/függvények/műveletek/... Száma</v>
      </c>
      <c r="M25" s="124" t="str">
        <f t="shared" ref="M25:R25" si="5">C25</f>
        <v>hátizsák-problémaként értelmezhető-e</v>
      </c>
      <c r="N25" s="124" t="str">
        <f t="shared" si="5"/>
        <v>minél kevesebb a maradvány, annál jobb</v>
      </c>
      <c r="O25" s="124" t="str">
        <f t="shared" si="5"/>
        <v>van-e szubjektív súlyozási lehetőség</v>
      </c>
      <c r="P25" s="124" t="str">
        <f t="shared" si="5"/>
        <v>van-e objektív súlyozási lehetőség</v>
      </c>
      <c r="Q25" s="124" t="str">
        <f t="shared" si="5"/>
        <v>ár/teljesítmény index van-e? (árelőny)</v>
      </c>
      <c r="R25" s="124" t="str">
        <f t="shared" si="5"/>
        <v>attribútumok száma</v>
      </c>
    </row>
    <row r="26" spans="1:18" x14ac:dyDescent="0.3">
      <c r="A26" s="2">
        <v>1</v>
      </c>
      <c r="B26" s="134">
        <v>194.49701544405042</v>
      </c>
      <c r="C26" s="134">
        <v>139.87873287167054</v>
      </c>
      <c r="D26" s="134">
        <v>139.87873287167054</v>
      </c>
      <c r="E26" s="134">
        <v>133.51574215434604</v>
      </c>
      <c r="F26" s="134">
        <v>212.10897588156351</v>
      </c>
      <c r="G26" s="134">
        <v>189.96379233093873</v>
      </c>
      <c r="H26" s="134">
        <v>133.09466797124219</v>
      </c>
      <c r="I26" s="134">
        <v>21.291807403916572</v>
      </c>
      <c r="K26" s="2" t="s">
        <v>357</v>
      </c>
      <c r="L26" s="132">
        <f>B26-B27</f>
        <v>95.27216135518097</v>
      </c>
      <c r="M26" s="132">
        <f t="shared" ref="M26:R33" si="6">C26-C27</f>
        <v>0.99999999982921395</v>
      </c>
      <c r="N26" s="132">
        <f t="shared" si="6"/>
        <v>0.99999999982921395</v>
      </c>
      <c r="O26" s="132">
        <f t="shared" si="6"/>
        <v>1.0000000001369074</v>
      </c>
      <c r="P26" s="132">
        <f t="shared" si="6"/>
        <v>0.99999999990649258</v>
      </c>
      <c r="Q26" s="132">
        <f t="shared" si="6"/>
        <v>0.99999999954778218</v>
      </c>
      <c r="R26" s="132">
        <f t="shared" si="6"/>
        <v>0.99999999887788249</v>
      </c>
    </row>
    <row r="27" spans="1:18" x14ac:dyDescent="0.3">
      <c r="A27" s="2">
        <v>2</v>
      </c>
      <c r="B27" s="134">
        <v>99.224854088869449</v>
      </c>
      <c r="C27" s="134">
        <v>138.87873287184132</v>
      </c>
      <c r="D27" s="134">
        <v>138.87873287184132</v>
      </c>
      <c r="E27" s="134">
        <v>132.51574215420914</v>
      </c>
      <c r="F27" s="134">
        <v>211.10897588165702</v>
      </c>
      <c r="G27" s="134">
        <v>188.96379233139095</v>
      </c>
      <c r="H27" s="134">
        <v>132.09466797236431</v>
      </c>
      <c r="I27" s="134">
        <v>0</v>
      </c>
      <c r="L27" s="132">
        <f t="shared" ref="L27:L33" si="7">B27-B28</f>
        <v>8.9999978847527302</v>
      </c>
      <c r="M27" s="132">
        <f t="shared" si="6"/>
        <v>0.99999999982699705</v>
      </c>
      <c r="N27" s="132">
        <f t="shared" si="6"/>
        <v>0.99999999982699705</v>
      </c>
      <c r="O27" s="132">
        <f t="shared" si="6"/>
        <v>1.0000000001391527</v>
      </c>
      <c r="P27" s="132">
        <f t="shared" si="6"/>
        <v>52.680482671722672</v>
      </c>
      <c r="Q27" s="132">
        <f t="shared" si="6"/>
        <v>24.125456214319712</v>
      </c>
      <c r="R27" s="132">
        <f t="shared" si="6"/>
        <v>30.831857909297</v>
      </c>
    </row>
    <row r="28" spans="1:18" x14ac:dyDescent="0.3">
      <c r="A28" s="2">
        <v>3</v>
      </c>
      <c r="B28" s="134">
        <v>90.224856204116719</v>
      </c>
      <c r="C28" s="134">
        <v>137.87873287201433</v>
      </c>
      <c r="D28" s="134">
        <v>137.87873287201433</v>
      </c>
      <c r="E28" s="134">
        <v>131.51574215406998</v>
      </c>
      <c r="F28" s="134">
        <v>158.42849320993435</v>
      </c>
      <c r="G28" s="134">
        <v>164.83833611707124</v>
      </c>
      <c r="H28" s="134">
        <v>101.26281006306731</v>
      </c>
      <c r="I28" s="134">
        <v>0</v>
      </c>
      <c r="L28" s="132">
        <f t="shared" si="7"/>
        <v>0.99999999989759658</v>
      </c>
      <c r="M28" s="132">
        <f t="shared" si="6"/>
        <v>16.091135370586159</v>
      </c>
      <c r="N28" s="132">
        <f t="shared" si="6"/>
        <v>16.091135370586159</v>
      </c>
      <c r="O28" s="132">
        <f t="shared" si="6"/>
        <v>1.0000000001414264</v>
      </c>
      <c r="P28" s="132">
        <f t="shared" si="6"/>
        <v>22.775499029990641</v>
      </c>
      <c r="Q28" s="132">
        <f t="shared" si="6"/>
        <v>29.185343921732198</v>
      </c>
      <c r="R28" s="132">
        <f t="shared" si="6"/>
        <v>0.9999999999948983</v>
      </c>
    </row>
    <row r="29" spans="1:18" x14ac:dyDescent="0.3">
      <c r="A29" s="2">
        <v>4</v>
      </c>
      <c r="B29" s="134">
        <v>89.224856204219122</v>
      </c>
      <c r="C29" s="134">
        <v>121.78759750142817</v>
      </c>
      <c r="D29" s="134">
        <v>121.78759750142817</v>
      </c>
      <c r="E29" s="134">
        <v>130.51574215392856</v>
      </c>
      <c r="F29" s="134">
        <v>135.6529941799437</v>
      </c>
      <c r="G29" s="134">
        <v>135.65299219533904</v>
      </c>
      <c r="H29" s="134">
        <v>100.26281006307241</v>
      </c>
      <c r="I29" s="134">
        <v>28.854537875045001</v>
      </c>
      <c r="L29" s="132">
        <f t="shared" si="7"/>
        <v>8.562726102400859</v>
      </c>
      <c r="M29" s="132">
        <f t="shared" si="6"/>
        <v>20.002419462750268</v>
      </c>
      <c r="N29" s="132">
        <f t="shared" si="6"/>
        <v>20.002419462750268</v>
      </c>
      <c r="O29" s="132">
        <f t="shared" si="6"/>
        <v>1.0000000001435012</v>
      </c>
      <c r="P29" s="132">
        <f t="shared" si="6"/>
        <v>22.775499029990598</v>
      </c>
      <c r="Q29" s="132">
        <f t="shared" si="6"/>
        <v>22.77549869922322</v>
      </c>
      <c r="R29" s="132">
        <f t="shared" si="6"/>
        <v>8.5627260355810506</v>
      </c>
    </row>
    <row r="30" spans="1:18" x14ac:dyDescent="0.3">
      <c r="A30" s="2">
        <v>5</v>
      </c>
      <c r="B30" s="134">
        <v>80.662130101818263</v>
      </c>
      <c r="C30" s="134">
        <v>101.7851780386779</v>
      </c>
      <c r="D30" s="134">
        <v>101.7851780386779</v>
      </c>
      <c r="E30" s="134">
        <v>129.51574215378506</v>
      </c>
      <c r="F30" s="134">
        <v>112.87749514995311</v>
      </c>
      <c r="G30" s="134">
        <v>112.87749349611582</v>
      </c>
      <c r="H30" s="134">
        <v>91.700084027491357</v>
      </c>
      <c r="I30" s="134">
        <v>0</v>
      </c>
      <c r="L30" s="132">
        <f t="shared" si="7"/>
        <v>1.0000000001374616</v>
      </c>
      <c r="M30" s="132">
        <f t="shared" si="6"/>
        <v>6.542525617578363</v>
      </c>
      <c r="N30" s="132">
        <f t="shared" si="6"/>
        <v>6.5425256175783488</v>
      </c>
      <c r="O30" s="132">
        <f t="shared" si="6"/>
        <v>1.0000000001457465</v>
      </c>
      <c r="P30" s="132">
        <f t="shared" si="6"/>
        <v>22.775499029990613</v>
      </c>
      <c r="Q30" s="132">
        <f t="shared" si="6"/>
        <v>22.775498699223149</v>
      </c>
      <c r="R30" s="132">
        <f t="shared" si="6"/>
        <v>0.99999999995887379</v>
      </c>
    </row>
    <row r="31" spans="1:18" x14ac:dyDescent="0.3">
      <c r="A31" s="2">
        <v>6</v>
      </c>
      <c r="B31" s="134">
        <v>79.662130101680802</v>
      </c>
      <c r="C31" s="134">
        <v>95.242652421099535</v>
      </c>
      <c r="D31" s="134">
        <v>95.24265242109955</v>
      </c>
      <c r="E31" s="134">
        <v>128.51574215363931</v>
      </c>
      <c r="F31" s="134">
        <v>90.101996119962493</v>
      </c>
      <c r="G31" s="134">
        <v>90.101994796892669</v>
      </c>
      <c r="H31" s="134">
        <v>90.700084027532483</v>
      </c>
      <c r="I31" s="134">
        <v>0</v>
      </c>
      <c r="L31" s="132">
        <f t="shared" si="7"/>
        <v>20.45882617517664</v>
      </c>
      <c r="M31" s="132">
        <f t="shared" si="6"/>
        <v>0.99999999990323829</v>
      </c>
      <c r="N31" s="132">
        <f t="shared" si="6"/>
        <v>0.99999999990323829</v>
      </c>
      <c r="O31" s="132">
        <f t="shared" si="6"/>
        <v>0.99999998064691908</v>
      </c>
      <c r="P31" s="132">
        <f t="shared" si="6"/>
        <v>22.775499029990613</v>
      </c>
      <c r="Q31" s="132">
        <f t="shared" si="6"/>
        <v>22.775498699223149</v>
      </c>
      <c r="R31" s="132">
        <f t="shared" si="6"/>
        <v>0.99999999995786482</v>
      </c>
    </row>
    <row r="32" spans="1:18" x14ac:dyDescent="0.3">
      <c r="A32" s="2">
        <v>7</v>
      </c>
      <c r="B32" s="134">
        <v>59.203303926504162</v>
      </c>
      <c r="C32" s="134">
        <v>94.242652421196297</v>
      </c>
      <c r="D32" s="134">
        <v>94.242652421196311</v>
      </c>
      <c r="E32" s="134">
        <v>127.51574217299239</v>
      </c>
      <c r="F32" s="134">
        <v>67.32649708997188</v>
      </c>
      <c r="G32" s="134">
        <v>67.326496097669519</v>
      </c>
      <c r="H32" s="134">
        <v>89.700084027574619</v>
      </c>
      <c r="I32" s="134">
        <v>0</v>
      </c>
      <c r="L32" s="132">
        <f t="shared" si="7"/>
        <v>9.3730322677585818</v>
      </c>
      <c r="M32" s="132">
        <f t="shared" si="6"/>
        <v>0.99999999990140509</v>
      </c>
      <c r="N32" s="132">
        <f t="shared" si="6"/>
        <v>0.99999999990140509</v>
      </c>
      <c r="O32" s="132">
        <f t="shared" si="6"/>
        <v>82.964744113011136</v>
      </c>
      <c r="P32" s="132">
        <f t="shared" si="6"/>
        <v>22.775499029990634</v>
      </c>
      <c r="Q32" s="132">
        <f t="shared" si="6"/>
        <v>22.775498699223185</v>
      </c>
      <c r="R32" s="132">
        <f t="shared" si="6"/>
        <v>0.99999999995702638</v>
      </c>
    </row>
    <row r="33" spans="1:18" x14ac:dyDescent="0.3">
      <c r="A33" s="2">
        <v>8</v>
      </c>
      <c r="B33" s="134">
        <v>49.830271658745581</v>
      </c>
      <c r="C33" s="134">
        <v>93.242652421294892</v>
      </c>
      <c r="D33" s="134">
        <v>93.242652421294906</v>
      </c>
      <c r="E33" s="134">
        <v>44.550998059981247</v>
      </c>
      <c r="F33" s="134">
        <v>44.550998059981247</v>
      </c>
      <c r="G33" s="134">
        <v>44.550997398446334</v>
      </c>
      <c r="H33" s="134">
        <v>88.700084027617592</v>
      </c>
      <c r="I33" s="134">
        <v>0</v>
      </c>
      <c r="K33" s="2" t="s">
        <v>358</v>
      </c>
      <c r="L33" s="132">
        <f t="shared" si="7"/>
        <v>19.562727661835915</v>
      </c>
      <c r="M33" s="132">
        <f t="shared" si="6"/>
        <v>0.99999999989904609</v>
      </c>
      <c r="N33" s="132">
        <f t="shared" si="6"/>
        <v>0.9999999998990603</v>
      </c>
      <c r="O33" s="132">
        <f t="shared" si="6"/>
        <v>22.775499029990627</v>
      </c>
      <c r="P33" s="132">
        <f t="shared" si="6"/>
        <v>22.775499029990627</v>
      </c>
      <c r="Q33" s="132">
        <f t="shared" si="6"/>
        <v>22.775498699223164</v>
      </c>
      <c r="R33" s="132">
        <f t="shared" si="6"/>
        <v>66.924584336092067</v>
      </c>
    </row>
    <row r="34" spans="1:18" x14ac:dyDescent="0.3">
      <c r="A34" s="2">
        <v>9</v>
      </c>
      <c r="B34" s="134">
        <v>30.267543996909666</v>
      </c>
      <c r="C34" s="134">
        <v>92.242652421395846</v>
      </c>
      <c r="D34" s="134">
        <v>92.242652421395846</v>
      </c>
      <c r="E34" s="134">
        <v>21.77549902999062</v>
      </c>
      <c r="F34" s="134">
        <v>21.77549902999062</v>
      </c>
      <c r="G34" s="134">
        <v>21.775498699223171</v>
      </c>
      <c r="H34" s="134">
        <v>21.775499691525525</v>
      </c>
      <c r="I34" s="134">
        <v>0</v>
      </c>
    </row>
    <row r="35" spans="1:18" x14ac:dyDescent="0.3">
      <c r="A35" s="2">
        <v>1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</row>
    <row r="37" spans="1:18" ht="72" x14ac:dyDescent="0.3">
      <c r="B37" s="124" t="str">
        <f>B25</f>
        <v>A1=képletek/függvények/műveletek/... Száma</v>
      </c>
      <c r="C37" s="124" t="str">
        <f t="shared" ref="C37:I37" si="8">C25</f>
        <v>hátizsák-problémaként értelmezhető-e</v>
      </c>
      <c r="D37" s="124" t="str">
        <f t="shared" si="8"/>
        <v>minél kevesebb a maradvány, annál jobb</v>
      </c>
      <c r="E37" s="124" t="str">
        <f t="shared" si="8"/>
        <v>van-e szubjektív súlyozási lehetőség</v>
      </c>
      <c r="F37" s="124" t="str">
        <f t="shared" si="8"/>
        <v>van-e objektív súlyozási lehetőség</v>
      </c>
      <c r="G37" s="124" t="str">
        <f t="shared" si="8"/>
        <v>ár/teljesítmény index van-e? (árelőny)</v>
      </c>
      <c r="H37" s="124" t="str">
        <f t="shared" si="8"/>
        <v>attribútumok száma</v>
      </c>
      <c r="I37" s="124" t="str">
        <f t="shared" si="8"/>
        <v>ktg adat része-e</v>
      </c>
      <c r="J37" s="124" t="str">
        <f>J14</f>
        <v>Y0</v>
      </c>
      <c r="K37" s="2" t="s">
        <v>359</v>
      </c>
      <c r="L37" s="2" t="s">
        <v>360</v>
      </c>
    </row>
    <row r="38" spans="1:18" x14ac:dyDescent="0.3">
      <c r="A38" s="2" t="str">
        <f>A15</f>
        <v>rnd1</v>
      </c>
      <c r="B38" s="133">
        <f>VLOOKUP(B15,$A$26:$I$34,B$35,0)</f>
        <v>194.49701544405042</v>
      </c>
      <c r="C38" s="133">
        <f t="shared" ref="C38:I38" si="9">VLOOKUP(C15,$A$26:$I$34,C$35,0)</f>
        <v>92.242652421395846</v>
      </c>
      <c r="D38" s="133">
        <f t="shared" si="9"/>
        <v>92.242652421395846</v>
      </c>
      <c r="E38" s="133">
        <f t="shared" si="9"/>
        <v>127.51574217299239</v>
      </c>
      <c r="F38" s="133">
        <f t="shared" si="9"/>
        <v>211.10897588165702</v>
      </c>
      <c r="G38" s="133">
        <f t="shared" si="9"/>
        <v>164.83833611707124</v>
      </c>
      <c r="H38" s="133">
        <f t="shared" si="9"/>
        <v>88.700084027617592</v>
      </c>
      <c r="I38" s="133">
        <f t="shared" si="9"/>
        <v>28.854537875045001</v>
      </c>
      <c r="J38" s="124">
        <f t="shared" ref="J38:J46" si="10">J15</f>
        <v>1000</v>
      </c>
      <c r="K38" s="135">
        <f>SUM(B38:I38)</f>
        <v>999.99999636122527</v>
      </c>
      <c r="L38" s="132">
        <f>J38-K38</f>
        <v>3.638774728642602E-6</v>
      </c>
    </row>
    <row r="39" spans="1:18" x14ac:dyDescent="0.3">
      <c r="A39" s="2" t="str">
        <f t="shared" ref="A39:A46" si="11">A16</f>
        <v>rnd2</v>
      </c>
      <c r="B39" s="133">
        <f t="shared" ref="B39:I46" si="12">VLOOKUP(B16,$A$26:$I$34,B$35,0)</f>
        <v>99.224854088869449</v>
      </c>
      <c r="C39" s="133">
        <f t="shared" si="12"/>
        <v>139.87873287167054</v>
      </c>
      <c r="D39" s="133">
        <f t="shared" si="12"/>
        <v>139.87873287167054</v>
      </c>
      <c r="E39" s="133">
        <f t="shared" si="12"/>
        <v>127.51574217299239</v>
      </c>
      <c r="F39" s="133">
        <f t="shared" si="12"/>
        <v>211.10897588165702</v>
      </c>
      <c r="G39" s="133">
        <f t="shared" si="12"/>
        <v>164.83833611707124</v>
      </c>
      <c r="H39" s="133">
        <f t="shared" si="12"/>
        <v>88.700084027617592</v>
      </c>
      <c r="I39" s="133">
        <f t="shared" si="12"/>
        <v>28.854537875045001</v>
      </c>
      <c r="J39" s="124">
        <f t="shared" si="10"/>
        <v>1000</v>
      </c>
      <c r="K39" s="135">
        <f t="shared" ref="K39:K46" si="13">SUM(B39:I39)</f>
        <v>999.99999590659365</v>
      </c>
      <c r="L39" s="132">
        <f t="shared" ref="L39:L46" si="14">J39-K39</f>
        <v>4.0934063463282655E-6</v>
      </c>
    </row>
    <row r="40" spans="1:18" x14ac:dyDescent="0.3">
      <c r="A40" s="2" t="str">
        <f t="shared" si="11"/>
        <v>*ofn_1</v>
      </c>
      <c r="B40" s="133">
        <f t="shared" si="12"/>
        <v>89.224856204219122</v>
      </c>
      <c r="C40" s="133">
        <f t="shared" si="12"/>
        <v>139.87873287167054</v>
      </c>
      <c r="D40" s="133">
        <f t="shared" si="12"/>
        <v>139.87873287167054</v>
      </c>
      <c r="E40" s="133">
        <f t="shared" si="12"/>
        <v>133.51574215434604</v>
      </c>
      <c r="F40" s="133">
        <f t="shared" si="12"/>
        <v>211.10897588165702</v>
      </c>
      <c r="G40" s="133">
        <f t="shared" si="12"/>
        <v>164.83833611707124</v>
      </c>
      <c r="H40" s="133">
        <f t="shared" si="12"/>
        <v>100.26281006307241</v>
      </c>
      <c r="I40" s="133">
        <f t="shared" si="12"/>
        <v>21.291807403916572</v>
      </c>
      <c r="J40" s="124">
        <f t="shared" si="10"/>
        <v>1000</v>
      </c>
      <c r="K40" s="135">
        <f t="shared" si="13"/>
        <v>999.99999356762339</v>
      </c>
      <c r="L40" s="132">
        <f t="shared" si="14"/>
        <v>6.4323766082452494E-6</v>
      </c>
    </row>
    <row r="41" spans="1:18" x14ac:dyDescent="0.3">
      <c r="A41" s="2" t="str">
        <f t="shared" si="11"/>
        <v>*ofn_2</v>
      </c>
      <c r="B41" s="133">
        <f t="shared" si="12"/>
        <v>90.224856204116719</v>
      </c>
      <c r="C41" s="133">
        <f t="shared" si="12"/>
        <v>139.87873287167054</v>
      </c>
      <c r="D41" s="133">
        <f t="shared" si="12"/>
        <v>139.87873287167054</v>
      </c>
      <c r="E41" s="133">
        <f t="shared" si="12"/>
        <v>133.51574215434604</v>
      </c>
      <c r="F41" s="133">
        <f t="shared" si="12"/>
        <v>211.10897588165702</v>
      </c>
      <c r="G41" s="133">
        <f t="shared" si="12"/>
        <v>164.83833611707124</v>
      </c>
      <c r="H41" s="133">
        <f t="shared" si="12"/>
        <v>91.700084027491357</v>
      </c>
      <c r="I41" s="133">
        <f t="shared" si="12"/>
        <v>28.854537875045001</v>
      </c>
      <c r="J41" s="124">
        <f t="shared" si="10"/>
        <v>1000</v>
      </c>
      <c r="K41" s="135">
        <f t="shared" si="13"/>
        <v>999.99999800306841</v>
      </c>
      <c r="L41" s="132">
        <f t="shared" si="14"/>
        <v>1.996931587200379E-6</v>
      </c>
    </row>
    <row r="42" spans="1:18" x14ac:dyDescent="0.3">
      <c r="A42" s="2" t="str">
        <f t="shared" si="11"/>
        <v>*ofn_3</v>
      </c>
      <c r="B42" s="133">
        <f t="shared" si="12"/>
        <v>80.662130101818263</v>
      </c>
      <c r="C42" s="133">
        <f t="shared" si="12"/>
        <v>139.87873287167054</v>
      </c>
      <c r="D42" s="133">
        <f t="shared" si="12"/>
        <v>139.87873287167054</v>
      </c>
      <c r="E42" s="133">
        <f t="shared" si="12"/>
        <v>133.51574215434604</v>
      </c>
      <c r="F42" s="133">
        <f t="shared" si="12"/>
        <v>211.10897588165702</v>
      </c>
      <c r="G42" s="133">
        <f t="shared" si="12"/>
        <v>164.83833611707124</v>
      </c>
      <c r="H42" s="133">
        <f t="shared" si="12"/>
        <v>101.26281006306731</v>
      </c>
      <c r="I42" s="133">
        <f t="shared" si="12"/>
        <v>28.854537875045001</v>
      </c>
      <c r="J42" s="124">
        <f t="shared" si="10"/>
        <v>1000</v>
      </c>
      <c r="K42" s="135">
        <f t="shared" si="13"/>
        <v>999.99999793634584</v>
      </c>
      <c r="L42" s="132">
        <f t="shared" si="14"/>
        <v>2.06365416488552E-6</v>
      </c>
    </row>
    <row r="43" spans="1:18" x14ac:dyDescent="0.3">
      <c r="A43" s="2" t="str">
        <f t="shared" si="11"/>
        <v>*ofn_4</v>
      </c>
      <c r="B43" s="133">
        <f t="shared" si="12"/>
        <v>49.830271658745581</v>
      </c>
      <c r="C43" s="133">
        <f t="shared" si="12"/>
        <v>139.87873287167054</v>
      </c>
      <c r="D43" s="133">
        <f t="shared" si="12"/>
        <v>139.87873287167054</v>
      </c>
      <c r="E43" s="133">
        <f t="shared" si="12"/>
        <v>133.51574215434604</v>
      </c>
      <c r="F43" s="133">
        <f t="shared" si="12"/>
        <v>211.10897588165702</v>
      </c>
      <c r="G43" s="133">
        <f t="shared" si="12"/>
        <v>164.83833611707124</v>
      </c>
      <c r="H43" s="133">
        <f t="shared" si="12"/>
        <v>132.09466797236431</v>
      </c>
      <c r="I43" s="133">
        <f t="shared" si="12"/>
        <v>28.854537875045001</v>
      </c>
      <c r="J43" s="124">
        <f t="shared" si="10"/>
        <v>1000</v>
      </c>
      <c r="K43" s="135">
        <f t="shared" si="13"/>
        <v>999.99999740257022</v>
      </c>
      <c r="L43" s="132">
        <f t="shared" si="14"/>
        <v>2.5974297841457883E-6</v>
      </c>
    </row>
    <row r="44" spans="1:18" x14ac:dyDescent="0.3">
      <c r="A44" s="2" t="str">
        <f t="shared" si="11"/>
        <v>*ofn_5</v>
      </c>
      <c r="B44" s="133"/>
      <c r="C44" s="133"/>
      <c r="D44" s="133"/>
      <c r="E44" s="133"/>
      <c r="F44" s="133"/>
      <c r="G44" s="133"/>
      <c r="H44" s="133"/>
      <c r="I44" s="133"/>
      <c r="J44" s="124"/>
      <c r="K44" s="135"/>
      <c r="L44" s="132"/>
    </row>
    <row r="45" spans="1:18" x14ac:dyDescent="0.3">
      <c r="A45" s="2" t="str">
        <f t="shared" si="11"/>
        <v>*ofn_12</v>
      </c>
      <c r="B45" s="133">
        <f t="shared" si="12"/>
        <v>79.662130101680802</v>
      </c>
      <c r="C45" s="133">
        <f t="shared" si="12"/>
        <v>139.87873287167054</v>
      </c>
      <c r="D45" s="133">
        <f t="shared" si="12"/>
        <v>139.87873287167054</v>
      </c>
      <c r="E45" s="133">
        <f t="shared" si="12"/>
        <v>127.51574217299239</v>
      </c>
      <c r="F45" s="133">
        <f t="shared" si="12"/>
        <v>211.10897588165702</v>
      </c>
      <c r="G45" s="133">
        <f t="shared" si="12"/>
        <v>188.96379233139095</v>
      </c>
      <c r="H45" s="133">
        <f t="shared" si="12"/>
        <v>91.700084027491357</v>
      </c>
      <c r="I45" s="133">
        <f t="shared" si="12"/>
        <v>21.291807403916572</v>
      </c>
      <c r="J45" s="124">
        <f t="shared" si="10"/>
        <v>1000</v>
      </c>
      <c r="K45" s="135">
        <f t="shared" si="13"/>
        <v>999.99999766247004</v>
      </c>
      <c r="L45" s="132">
        <f t="shared" si="14"/>
        <v>2.3375299633698887E-6</v>
      </c>
    </row>
    <row r="46" spans="1:18" x14ac:dyDescent="0.3">
      <c r="A46" s="2" t="str">
        <f t="shared" si="11"/>
        <v>tananyag</v>
      </c>
      <c r="B46" s="133">
        <f t="shared" si="12"/>
        <v>30.267543996909666</v>
      </c>
      <c r="C46" s="133">
        <f t="shared" si="12"/>
        <v>139.87873287167054</v>
      </c>
      <c r="D46" s="133">
        <f t="shared" si="12"/>
        <v>139.87873287167054</v>
      </c>
      <c r="E46" s="133">
        <f t="shared" si="12"/>
        <v>133.51574215434604</v>
      </c>
      <c r="F46" s="133">
        <f t="shared" si="12"/>
        <v>212.10897588156351</v>
      </c>
      <c r="G46" s="133">
        <f t="shared" si="12"/>
        <v>189.96379233093873</v>
      </c>
      <c r="H46" s="133">
        <f t="shared" si="12"/>
        <v>133.09466797124219</v>
      </c>
      <c r="I46" s="133">
        <f t="shared" si="12"/>
        <v>21.291807403916572</v>
      </c>
      <c r="J46" s="124">
        <f t="shared" si="10"/>
        <v>1000</v>
      </c>
      <c r="K46" s="135">
        <f t="shared" si="13"/>
        <v>999.99999548225787</v>
      </c>
      <c r="L46" s="132">
        <f t="shared" si="14"/>
        <v>4.5177421270636842E-6</v>
      </c>
    </row>
    <row r="47" spans="1:18" x14ac:dyDescent="0.3">
      <c r="L47" s="132"/>
    </row>
    <row r="48" spans="1:18" x14ac:dyDescent="0.3">
      <c r="L48" s="132">
        <f>SUMSQ(L38:L46)</f>
        <v>1.1223921188834277E-10</v>
      </c>
    </row>
  </sheetData>
  <conditionalFormatting sqref="B15: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7" location="'2ofn'!H1" display="'2ofn'!H1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8"/>
  <sheetViews>
    <sheetView tabSelected="1" topLeftCell="A26" workbookViewId="0">
      <selection activeCell="L48" sqref="L48"/>
    </sheetView>
  </sheetViews>
  <sheetFormatPr defaultColWidth="9.109375" defaultRowHeight="14.4" x14ac:dyDescent="0.3"/>
  <cols>
    <col min="1" max="1" width="25" style="2" bestFit="1" customWidth="1"/>
    <col min="2" max="2" width="13.6640625" style="2" customWidth="1"/>
    <col min="3" max="8" width="10.5546875" style="2" bestFit="1" customWidth="1"/>
    <col min="9" max="9" width="9.5546875" style="2" bestFit="1" customWidth="1"/>
    <col min="10" max="10" width="9.109375" style="2"/>
    <col min="11" max="11" width="13.6640625" style="2" bestFit="1" customWidth="1"/>
    <col min="12" max="16384" width="9.109375" style="2"/>
  </cols>
  <sheetData>
    <row r="1" spans="1:11" x14ac:dyDescent="0.3">
      <c r="A1" s="2" t="s">
        <v>306</v>
      </c>
    </row>
    <row r="2" spans="1:11" x14ac:dyDescent="0.3">
      <c r="A2" s="2" t="s">
        <v>307</v>
      </c>
      <c r="B2" s="2">
        <v>1</v>
      </c>
      <c r="C2" s="129">
        <v>0</v>
      </c>
      <c r="D2" s="2">
        <v>0</v>
      </c>
      <c r="E2" s="129">
        <v>0</v>
      </c>
      <c r="F2" s="129">
        <v>0</v>
      </c>
      <c r="G2" s="129">
        <v>0</v>
      </c>
      <c r="H2" s="2">
        <v>0</v>
      </c>
      <c r="I2" s="2">
        <v>0</v>
      </c>
    </row>
    <row r="3" spans="1:11" ht="72" x14ac:dyDescent="0.3">
      <c r="B3" s="124" t="s">
        <v>329</v>
      </c>
      <c r="C3" s="130" t="s">
        <v>345</v>
      </c>
      <c r="D3" s="131" t="s">
        <v>347</v>
      </c>
      <c r="E3" s="124" t="s">
        <v>349</v>
      </c>
      <c r="F3" s="124" t="s">
        <v>350</v>
      </c>
      <c r="G3" s="124" t="s">
        <v>352</v>
      </c>
      <c r="H3" s="124" t="s">
        <v>353</v>
      </c>
      <c r="I3" s="124" t="s">
        <v>354</v>
      </c>
      <c r="J3" s="2" t="s">
        <v>355</v>
      </c>
      <c r="K3" s="2" t="s">
        <v>0</v>
      </c>
    </row>
    <row r="4" spans="1:11" x14ac:dyDescent="0.3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1000</v>
      </c>
    </row>
    <row r="5" spans="1:11" x14ac:dyDescent="0.3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1000</v>
      </c>
    </row>
    <row r="6" spans="1:11" x14ac:dyDescent="0.3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  <c r="J6" s="2">
        <v>1000</v>
      </c>
    </row>
    <row r="7" spans="1:11" x14ac:dyDescent="0.3">
      <c r="A7" s="2" t="s">
        <v>309</v>
      </c>
      <c r="B7" s="125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  <c r="J7" s="2">
        <v>1000</v>
      </c>
    </row>
    <row r="8" spans="1:11" x14ac:dyDescent="0.3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  <c r="J8" s="2">
        <v>1000</v>
      </c>
    </row>
    <row r="9" spans="1:11" x14ac:dyDescent="0.3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  <c r="J9" s="2">
        <v>1000</v>
      </c>
    </row>
    <row r="10" spans="1:11" x14ac:dyDescent="0.3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  <c r="J10" s="2">
        <v>1000</v>
      </c>
    </row>
    <row r="11" spans="1:11" x14ac:dyDescent="0.3">
      <c r="A11" s="2" t="s">
        <v>330</v>
      </c>
      <c r="B11" s="2">
        <f>'12ofn'!F15</f>
        <v>11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2</v>
      </c>
      <c r="I11" s="2">
        <v>1</v>
      </c>
      <c r="J11" s="2">
        <v>1000</v>
      </c>
    </row>
    <row r="12" spans="1:11" x14ac:dyDescent="0.3">
      <c r="A12" s="2" t="s">
        <v>351</v>
      </c>
      <c r="B12" s="2">
        <v>99</v>
      </c>
      <c r="C12" s="2">
        <v>1</v>
      </c>
      <c r="D12" s="2">
        <v>1</v>
      </c>
      <c r="E12" s="2">
        <v>1</v>
      </c>
      <c r="F12" s="2">
        <v>1</v>
      </c>
      <c r="G12" s="2">
        <v>2</v>
      </c>
      <c r="H12" s="2">
        <v>33</v>
      </c>
      <c r="I12" s="2">
        <v>1</v>
      </c>
      <c r="J12" s="2">
        <v>1000</v>
      </c>
    </row>
    <row r="14" spans="1:11" ht="72" x14ac:dyDescent="0.3">
      <c r="B14" s="124" t="str">
        <f>B3</f>
        <v>A1=képletek/függvények/műveletek/... Száma</v>
      </c>
      <c r="C14" s="124" t="str">
        <f t="shared" ref="C14:J23" si="0">C3</f>
        <v>hátizsák-problémaként értelmezhető-e</v>
      </c>
      <c r="D14" s="124" t="str">
        <f t="shared" si="0"/>
        <v>minél kevesebb a maradvány, annál jobb</v>
      </c>
      <c r="E14" s="124" t="str">
        <f t="shared" si="0"/>
        <v>van-e szubjektív súlyozási lehetőség</v>
      </c>
      <c r="F14" s="124" t="str">
        <f t="shared" si="0"/>
        <v>van-e objektív súlyozási lehetőség</v>
      </c>
      <c r="G14" s="124" t="str">
        <f t="shared" si="0"/>
        <v>ár/teljesítmény index van-e? (árelőny)</v>
      </c>
      <c r="H14" s="124" t="str">
        <f t="shared" si="0"/>
        <v>attribútumok száma</v>
      </c>
      <c r="I14" s="124" t="str">
        <f t="shared" si="0"/>
        <v>ktg adat része-e</v>
      </c>
      <c r="J14" s="124" t="str">
        <f t="shared" si="0"/>
        <v>Y0</v>
      </c>
    </row>
    <row r="15" spans="1:11" x14ac:dyDescent="0.3">
      <c r="A15" s="2" t="str">
        <f>A4</f>
        <v>rnd1</v>
      </c>
      <c r="B15" s="2">
        <f>RANK(B4,B$4:B$12,B$2)</f>
        <v>1</v>
      </c>
      <c r="C15" s="2">
        <f t="shared" ref="C15:I15" si="1">RANK(C4,C$4:C$12,C$2)</f>
        <v>9</v>
      </c>
      <c r="D15" s="2">
        <f t="shared" si="1"/>
        <v>9</v>
      </c>
      <c r="E15" s="2">
        <f t="shared" si="1"/>
        <v>7</v>
      </c>
      <c r="F15" s="2">
        <f t="shared" si="1"/>
        <v>2</v>
      </c>
      <c r="G15" s="2">
        <f t="shared" si="1"/>
        <v>3</v>
      </c>
      <c r="H15" s="2">
        <f t="shared" si="1"/>
        <v>8</v>
      </c>
      <c r="I15" s="2">
        <f t="shared" si="1"/>
        <v>4</v>
      </c>
      <c r="J15" s="124">
        <f t="shared" si="0"/>
        <v>1000</v>
      </c>
    </row>
    <row r="16" spans="1:11" x14ac:dyDescent="0.3">
      <c r="A16" s="2" t="str">
        <f t="shared" ref="A16:A23" si="2">A5</f>
        <v>rnd2</v>
      </c>
      <c r="B16" s="2">
        <f t="shared" ref="B16:I23" si="3">RANK(B5,B$4:B$12,B$2)</f>
        <v>2</v>
      </c>
      <c r="C16" s="2">
        <f t="shared" si="3"/>
        <v>1</v>
      </c>
      <c r="D16" s="2">
        <f t="shared" si="3"/>
        <v>1</v>
      </c>
      <c r="E16" s="2">
        <f t="shared" si="3"/>
        <v>7</v>
      </c>
      <c r="F16" s="2">
        <f t="shared" si="3"/>
        <v>2</v>
      </c>
      <c r="G16" s="2">
        <f t="shared" si="3"/>
        <v>3</v>
      </c>
      <c r="H16" s="2">
        <f t="shared" si="3"/>
        <v>8</v>
      </c>
      <c r="I16" s="2">
        <f t="shared" si="3"/>
        <v>4</v>
      </c>
      <c r="J16" s="124">
        <f t="shared" si="0"/>
        <v>1000</v>
      </c>
    </row>
    <row r="17" spans="1:19" x14ac:dyDescent="0.3">
      <c r="A17" s="2" t="str">
        <f t="shared" si="2"/>
        <v>*ofn_1</v>
      </c>
      <c r="B17" s="2">
        <f t="shared" si="3"/>
        <v>4</v>
      </c>
      <c r="C17" s="2">
        <f t="shared" si="3"/>
        <v>1</v>
      </c>
      <c r="D17" s="2">
        <f t="shared" si="3"/>
        <v>1</v>
      </c>
      <c r="E17" s="2">
        <f t="shared" si="3"/>
        <v>1</v>
      </c>
      <c r="F17" s="2">
        <f t="shared" si="3"/>
        <v>2</v>
      </c>
      <c r="G17" s="2">
        <f t="shared" si="3"/>
        <v>3</v>
      </c>
      <c r="H17" s="2">
        <f t="shared" si="3"/>
        <v>4</v>
      </c>
      <c r="I17" s="2">
        <f t="shared" si="3"/>
        <v>1</v>
      </c>
      <c r="J17" s="124">
        <f t="shared" si="0"/>
        <v>1000</v>
      </c>
    </row>
    <row r="18" spans="1:19" x14ac:dyDescent="0.3">
      <c r="A18" s="2" t="str">
        <f t="shared" si="2"/>
        <v>*ofn_2</v>
      </c>
      <c r="B18" s="2">
        <f t="shared" si="3"/>
        <v>3</v>
      </c>
      <c r="C18" s="2">
        <f t="shared" si="3"/>
        <v>1</v>
      </c>
      <c r="D18" s="2">
        <f t="shared" si="3"/>
        <v>1</v>
      </c>
      <c r="E18" s="2">
        <f t="shared" si="3"/>
        <v>1</v>
      </c>
      <c r="F18" s="2">
        <f t="shared" si="3"/>
        <v>2</v>
      </c>
      <c r="G18" s="2">
        <f t="shared" si="3"/>
        <v>3</v>
      </c>
      <c r="H18" s="2">
        <f t="shared" si="3"/>
        <v>5</v>
      </c>
      <c r="I18" s="2">
        <f t="shared" si="3"/>
        <v>4</v>
      </c>
      <c r="J18" s="124">
        <f t="shared" si="0"/>
        <v>1000</v>
      </c>
    </row>
    <row r="19" spans="1:19" x14ac:dyDescent="0.3">
      <c r="A19" s="2" t="str">
        <f t="shared" si="2"/>
        <v>*ofn_3</v>
      </c>
      <c r="B19" s="2">
        <f t="shared" si="3"/>
        <v>5</v>
      </c>
      <c r="C19" s="2">
        <f t="shared" si="3"/>
        <v>1</v>
      </c>
      <c r="D19" s="2">
        <f t="shared" si="3"/>
        <v>1</v>
      </c>
      <c r="E19" s="2">
        <f t="shared" si="3"/>
        <v>1</v>
      </c>
      <c r="F19" s="2">
        <f t="shared" si="3"/>
        <v>2</v>
      </c>
      <c r="G19" s="2">
        <f t="shared" si="3"/>
        <v>3</v>
      </c>
      <c r="H19" s="2">
        <f t="shared" si="3"/>
        <v>3</v>
      </c>
      <c r="I19" s="2">
        <f t="shared" si="3"/>
        <v>4</v>
      </c>
      <c r="J19" s="124">
        <f t="shared" si="0"/>
        <v>1000</v>
      </c>
    </row>
    <row r="20" spans="1:19" x14ac:dyDescent="0.3">
      <c r="A20" s="2" t="str">
        <f t="shared" si="2"/>
        <v>*ofn_4</v>
      </c>
      <c r="B20" s="2">
        <f t="shared" si="3"/>
        <v>8</v>
      </c>
      <c r="C20" s="2">
        <f t="shared" si="3"/>
        <v>1</v>
      </c>
      <c r="D20" s="2">
        <f t="shared" si="3"/>
        <v>1</v>
      </c>
      <c r="E20" s="2">
        <f t="shared" si="3"/>
        <v>1</v>
      </c>
      <c r="F20" s="2">
        <f t="shared" si="3"/>
        <v>2</v>
      </c>
      <c r="G20" s="2">
        <f t="shared" si="3"/>
        <v>3</v>
      </c>
      <c r="H20" s="2">
        <f t="shared" si="3"/>
        <v>2</v>
      </c>
      <c r="I20" s="2">
        <f t="shared" si="3"/>
        <v>4</v>
      </c>
      <c r="J20" s="124">
        <f t="shared" si="0"/>
        <v>1000</v>
      </c>
    </row>
    <row r="21" spans="1:19" x14ac:dyDescent="0.3">
      <c r="A21" s="2" t="str">
        <f t="shared" si="2"/>
        <v>*ofn_5</v>
      </c>
      <c r="B21" s="2">
        <f t="shared" si="3"/>
        <v>6</v>
      </c>
      <c r="C21" s="2">
        <f t="shared" si="3"/>
        <v>1</v>
      </c>
      <c r="D21" s="2">
        <f t="shared" si="3"/>
        <v>1</v>
      </c>
      <c r="E21" s="2">
        <f t="shared" si="3"/>
        <v>1</v>
      </c>
      <c r="F21" s="2">
        <f t="shared" si="3"/>
        <v>2</v>
      </c>
      <c r="G21" s="2">
        <f t="shared" si="3"/>
        <v>3</v>
      </c>
      <c r="H21" s="2">
        <f t="shared" si="3"/>
        <v>5</v>
      </c>
      <c r="I21" s="2">
        <f t="shared" si="3"/>
        <v>4</v>
      </c>
      <c r="J21" s="124">
        <f t="shared" si="0"/>
        <v>1000</v>
      </c>
    </row>
    <row r="22" spans="1:19" x14ac:dyDescent="0.3">
      <c r="A22" s="2" t="str">
        <f t="shared" si="2"/>
        <v>*ofn_12</v>
      </c>
      <c r="B22" s="2">
        <f t="shared" si="3"/>
        <v>6</v>
      </c>
      <c r="C22" s="2">
        <f t="shared" si="3"/>
        <v>1</v>
      </c>
      <c r="D22" s="2">
        <f t="shared" si="3"/>
        <v>1</v>
      </c>
      <c r="E22" s="2">
        <f t="shared" si="3"/>
        <v>7</v>
      </c>
      <c r="F22" s="2">
        <f t="shared" si="3"/>
        <v>2</v>
      </c>
      <c r="G22" s="2">
        <f t="shared" si="3"/>
        <v>2</v>
      </c>
      <c r="H22" s="2">
        <f t="shared" si="3"/>
        <v>5</v>
      </c>
      <c r="I22" s="2">
        <f t="shared" si="3"/>
        <v>1</v>
      </c>
      <c r="J22" s="124">
        <f t="shared" si="0"/>
        <v>1000</v>
      </c>
    </row>
    <row r="23" spans="1:19" x14ac:dyDescent="0.3">
      <c r="A23" s="2" t="str">
        <f t="shared" si="2"/>
        <v>tananyag</v>
      </c>
      <c r="B23" s="2">
        <f t="shared" si="3"/>
        <v>9</v>
      </c>
      <c r="C23" s="2">
        <f t="shared" si="3"/>
        <v>1</v>
      </c>
      <c r="D23" s="2">
        <f t="shared" si="3"/>
        <v>1</v>
      </c>
      <c r="E23" s="2">
        <f t="shared" si="3"/>
        <v>1</v>
      </c>
      <c r="F23" s="2">
        <f t="shared" si="3"/>
        <v>1</v>
      </c>
      <c r="G23" s="2">
        <f t="shared" si="3"/>
        <v>1</v>
      </c>
      <c r="H23" s="2">
        <f t="shared" si="3"/>
        <v>1</v>
      </c>
      <c r="I23" s="2">
        <f t="shared" si="3"/>
        <v>1</v>
      </c>
      <c r="J23" s="124">
        <f t="shared" si="0"/>
        <v>1000</v>
      </c>
    </row>
    <row r="25" spans="1:19" ht="86.4" x14ac:dyDescent="0.3">
      <c r="A25" s="2" t="s">
        <v>356</v>
      </c>
      <c r="B25" s="124" t="str">
        <f>B14</f>
        <v>A1=képletek/függvények/műveletek/... Száma</v>
      </c>
      <c r="C25" s="124" t="str">
        <f t="shared" ref="C25:I25" si="4">C14</f>
        <v>hátizsák-problémaként értelmezhető-e</v>
      </c>
      <c r="D25" s="124" t="str">
        <f t="shared" si="4"/>
        <v>minél kevesebb a maradvány, annál jobb</v>
      </c>
      <c r="E25" s="124" t="str">
        <f t="shared" si="4"/>
        <v>van-e szubjektív súlyozási lehetőség</v>
      </c>
      <c r="F25" s="124" t="str">
        <f t="shared" si="4"/>
        <v>van-e objektív súlyozási lehetőség</v>
      </c>
      <c r="G25" s="124" t="str">
        <f t="shared" si="4"/>
        <v>ár/teljesítmény index van-e? (árelőny)</v>
      </c>
      <c r="H25" s="124" t="str">
        <f t="shared" si="4"/>
        <v>attribútumok száma</v>
      </c>
      <c r="I25" s="124" t="str">
        <f t="shared" si="4"/>
        <v>ktg adat része-e</v>
      </c>
      <c r="L25" s="124" t="str">
        <f>B25</f>
        <v>A1=képletek/függvények/műveletek/... Száma</v>
      </c>
      <c r="M25" s="124" t="str">
        <f t="shared" ref="M25:S25" si="5">C25</f>
        <v>hátizsák-problémaként értelmezhető-e</v>
      </c>
      <c r="N25" s="124" t="str">
        <f t="shared" si="5"/>
        <v>minél kevesebb a maradvány, annál jobb</v>
      </c>
      <c r="O25" s="124" t="str">
        <f t="shared" si="5"/>
        <v>van-e szubjektív súlyozási lehetőség</v>
      </c>
      <c r="P25" s="124" t="str">
        <f t="shared" si="5"/>
        <v>van-e objektív súlyozási lehetőség</v>
      </c>
      <c r="Q25" s="124" t="str">
        <f t="shared" si="5"/>
        <v>ár/teljesítmény index van-e? (árelőny)</v>
      </c>
      <c r="R25" s="124" t="str">
        <f t="shared" si="5"/>
        <v>attribútumok száma</v>
      </c>
      <c r="S25" s="124" t="str">
        <f t="shared" si="5"/>
        <v>ktg adat része-e</v>
      </c>
    </row>
    <row r="26" spans="1:19" x14ac:dyDescent="0.3">
      <c r="A26" s="2">
        <v>1</v>
      </c>
      <c r="B26" s="134">
        <v>7.9999999999999991</v>
      </c>
      <c r="C26" s="134">
        <v>113.68887979403108</v>
      </c>
      <c r="D26" s="134">
        <v>113.68887979403108</v>
      </c>
      <c r="E26" s="134">
        <v>126.55999114438922</v>
      </c>
      <c r="F26" s="134">
        <v>199.39261094321049</v>
      </c>
      <c r="G26" s="134">
        <v>179.88619926733412</v>
      </c>
      <c r="H26" s="134">
        <v>114.0187459227981</v>
      </c>
      <c r="I26" s="134">
        <v>164.88969313420569</v>
      </c>
      <c r="K26" s="2" t="s">
        <v>357</v>
      </c>
      <c r="L26" s="132">
        <f>B26-B27</f>
        <v>1</v>
      </c>
      <c r="M26" s="132">
        <f t="shared" ref="M26:S33" si="6">C26-C27</f>
        <v>1.0000000000000284</v>
      </c>
      <c r="N26" s="132">
        <f t="shared" si="6"/>
        <v>1.0000000000000284</v>
      </c>
      <c r="O26" s="132">
        <f t="shared" si="6"/>
        <v>0.99999999999998579</v>
      </c>
      <c r="P26" s="132">
        <f t="shared" si="6"/>
        <v>1</v>
      </c>
      <c r="Q26" s="132">
        <f t="shared" si="6"/>
        <v>1</v>
      </c>
      <c r="R26" s="132">
        <f t="shared" si="6"/>
        <v>0.99999999999998579</v>
      </c>
      <c r="S26" s="132">
        <f t="shared" si="6"/>
        <v>0.99999999999997158</v>
      </c>
    </row>
    <row r="27" spans="1:19" x14ac:dyDescent="0.3">
      <c r="A27" s="2">
        <v>2</v>
      </c>
      <c r="B27" s="134">
        <v>6.9999999999999991</v>
      </c>
      <c r="C27" s="134">
        <v>112.68887979403105</v>
      </c>
      <c r="D27" s="134">
        <v>112.68887979403105</v>
      </c>
      <c r="E27" s="134">
        <v>125.55999114438923</v>
      </c>
      <c r="F27" s="134">
        <v>198.39261094321049</v>
      </c>
      <c r="G27" s="134">
        <v>178.88619926733412</v>
      </c>
      <c r="H27" s="134">
        <v>113.01874592279812</v>
      </c>
      <c r="I27" s="134">
        <v>163.88969313420571</v>
      </c>
      <c r="L27" s="132">
        <f t="shared" ref="L27:L33" si="7">B27-B28</f>
        <v>1</v>
      </c>
      <c r="M27" s="132">
        <f t="shared" si="6"/>
        <v>1</v>
      </c>
      <c r="N27" s="132">
        <f t="shared" si="6"/>
        <v>1</v>
      </c>
      <c r="O27" s="132">
        <f t="shared" si="6"/>
        <v>1.0000000000000142</v>
      </c>
      <c r="P27" s="132">
        <f t="shared" si="6"/>
        <v>47.991710946163607</v>
      </c>
      <c r="Q27" s="132">
        <f t="shared" si="6"/>
        <v>0.99999999999991473</v>
      </c>
      <c r="R27" s="132">
        <f t="shared" si="6"/>
        <v>1</v>
      </c>
      <c r="S27" s="132">
        <f t="shared" si="6"/>
        <v>1</v>
      </c>
    </row>
    <row r="28" spans="1:19" x14ac:dyDescent="0.3">
      <c r="A28" s="2">
        <v>3</v>
      </c>
      <c r="B28" s="134">
        <v>5.9999999999999991</v>
      </c>
      <c r="C28" s="134">
        <v>111.68887979403105</v>
      </c>
      <c r="D28" s="134">
        <v>111.68887979403105</v>
      </c>
      <c r="E28" s="134">
        <v>124.55999114438922</v>
      </c>
      <c r="F28" s="134">
        <v>150.40089999704688</v>
      </c>
      <c r="G28" s="134">
        <v>177.88619926733421</v>
      </c>
      <c r="H28" s="134">
        <v>112.01874592279812</v>
      </c>
      <c r="I28" s="134">
        <v>162.88969313420571</v>
      </c>
      <c r="L28" s="132">
        <f t="shared" si="7"/>
        <v>1</v>
      </c>
      <c r="M28" s="132">
        <f t="shared" si="6"/>
        <v>1.0000000000000284</v>
      </c>
      <c r="N28" s="132">
        <f t="shared" si="6"/>
        <v>1.0000000000000284</v>
      </c>
      <c r="O28" s="132">
        <f t="shared" si="6"/>
        <v>1</v>
      </c>
      <c r="P28" s="132">
        <f t="shared" si="6"/>
        <v>21.628699999578089</v>
      </c>
      <c r="Q28" s="132">
        <f t="shared" si="6"/>
        <v>49.114003979298161</v>
      </c>
      <c r="R28" s="132">
        <f t="shared" si="6"/>
        <v>1.0000000000000142</v>
      </c>
      <c r="S28" s="132">
        <f t="shared" si="6"/>
        <v>0.99999999999994316</v>
      </c>
    </row>
    <row r="29" spans="1:19" x14ac:dyDescent="0.3">
      <c r="A29" s="2">
        <v>4</v>
      </c>
      <c r="B29" s="134">
        <v>4.9999999999999991</v>
      </c>
      <c r="C29" s="134">
        <v>110.68887979403102</v>
      </c>
      <c r="D29" s="134">
        <v>110.68887979403102</v>
      </c>
      <c r="E29" s="134">
        <v>123.55999114438922</v>
      </c>
      <c r="F29" s="134">
        <v>128.77219999746879</v>
      </c>
      <c r="G29" s="134">
        <v>128.77219528803604</v>
      </c>
      <c r="H29" s="134">
        <v>111.0187459227981</v>
      </c>
      <c r="I29" s="134">
        <v>161.88969313420577</v>
      </c>
      <c r="L29" s="132">
        <f t="shared" si="7"/>
        <v>0.99999999999999911</v>
      </c>
      <c r="M29" s="132">
        <f t="shared" si="6"/>
        <v>0.99999999999998579</v>
      </c>
      <c r="N29" s="132">
        <f t="shared" si="6"/>
        <v>0.99999999999998579</v>
      </c>
      <c r="O29" s="132">
        <f t="shared" si="6"/>
        <v>1</v>
      </c>
      <c r="P29" s="132">
        <f t="shared" si="6"/>
        <v>21.628699999578146</v>
      </c>
      <c r="Q29" s="132">
        <f t="shared" si="6"/>
        <v>21.628699214672679</v>
      </c>
      <c r="R29" s="132">
        <f t="shared" si="6"/>
        <v>1</v>
      </c>
      <c r="S29" s="132">
        <f t="shared" si="6"/>
        <v>54.746193136315128</v>
      </c>
    </row>
    <row r="30" spans="1:19" x14ac:dyDescent="0.3">
      <c r="A30" s="2">
        <v>5</v>
      </c>
      <c r="B30" s="134">
        <v>4</v>
      </c>
      <c r="C30" s="134">
        <v>109.68887979403104</v>
      </c>
      <c r="D30" s="134">
        <v>109.68887979403104</v>
      </c>
      <c r="E30" s="134">
        <v>122.55999114438922</v>
      </c>
      <c r="F30" s="134">
        <v>107.14349999789064</v>
      </c>
      <c r="G30" s="134">
        <v>107.14349607336337</v>
      </c>
      <c r="H30" s="134">
        <v>110.0187459227981</v>
      </c>
      <c r="I30" s="134">
        <v>107.14349999789064</v>
      </c>
      <c r="L30" s="132">
        <f t="shared" si="7"/>
        <v>1</v>
      </c>
      <c r="M30" s="132">
        <f t="shared" si="6"/>
        <v>1</v>
      </c>
      <c r="N30" s="132">
        <f t="shared" si="6"/>
        <v>1</v>
      </c>
      <c r="O30" s="132">
        <f t="shared" si="6"/>
        <v>1</v>
      </c>
      <c r="P30" s="132">
        <f t="shared" si="6"/>
        <v>21.628699999578117</v>
      </c>
      <c r="Q30" s="132">
        <f t="shared" si="6"/>
        <v>21.628699214672665</v>
      </c>
      <c r="R30" s="132">
        <f t="shared" si="6"/>
        <v>1</v>
      </c>
      <c r="S30" s="132">
        <f t="shared" si="6"/>
        <v>21.628699999578117</v>
      </c>
    </row>
    <row r="31" spans="1:19" x14ac:dyDescent="0.3">
      <c r="A31" s="2">
        <v>6</v>
      </c>
      <c r="B31" s="134">
        <v>3</v>
      </c>
      <c r="C31" s="134">
        <v>108.68887979403104</v>
      </c>
      <c r="D31" s="134">
        <v>108.68887979403104</v>
      </c>
      <c r="E31" s="134">
        <v>121.55999114438922</v>
      </c>
      <c r="F31" s="134">
        <v>85.514799998312526</v>
      </c>
      <c r="G31" s="134">
        <v>85.514796858690701</v>
      </c>
      <c r="H31" s="134">
        <v>109.0187459227981</v>
      </c>
      <c r="I31" s="134">
        <v>85.514799998312526</v>
      </c>
      <c r="L31" s="132">
        <f t="shared" si="7"/>
        <v>0.99999999999999956</v>
      </c>
      <c r="M31" s="132">
        <f t="shared" si="6"/>
        <v>1</v>
      </c>
      <c r="N31" s="132">
        <f t="shared" si="6"/>
        <v>1</v>
      </c>
      <c r="O31" s="132">
        <f t="shared" si="6"/>
        <v>0.99999999999997158</v>
      </c>
      <c r="P31" s="132">
        <f t="shared" si="6"/>
        <v>21.628699999578131</v>
      </c>
      <c r="Q31" s="132">
        <f t="shared" si="6"/>
        <v>21.628699214672679</v>
      </c>
      <c r="R31" s="132">
        <f t="shared" si="6"/>
        <v>1</v>
      </c>
      <c r="S31" s="132">
        <f t="shared" si="6"/>
        <v>21.628699999578131</v>
      </c>
    </row>
    <row r="32" spans="1:19" x14ac:dyDescent="0.3">
      <c r="A32" s="2">
        <v>7</v>
      </c>
      <c r="B32" s="134">
        <v>2.0000000000000004</v>
      </c>
      <c r="C32" s="134">
        <v>107.68887979403104</v>
      </c>
      <c r="D32" s="134">
        <v>107.68887979403104</v>
      </c>
      <c r="E32" s="134">
        <v>120.55999114438924</v>
      </c>
      <c r="F32" s="134">
        <v>63.886099998734394</v>
      </c>
      <c r="G32" s="134">
        <v>63.886097644018022</v>
      </c>
      <c r="H32" s="134">
        <v>108.0187459227981</v>
      </c>
      <c r="I32" s="134">
        <v>63.886099998734394</v>
      </c>
      <c r="L32" s="132">
        <f t="shared" si="7"/>
        <v>1.0000000000000004</v>
      </c>
      <c r="M32" s="132">
        <f t="shared" si="6"/>
        <v>1</v>
      </c>
      <c r="N32" s="132">
        <f t="shared" si="6"/>
        <v>1</v>
      </c>
      <c r="O32" s="132">
        <f t="shared" si="6"/>
        <v>78.302591145232981</v>
      </c>
      <c r="P32" s="132">
        <f t="shared" si="6"/>
        <v>21.628699999578131</v>
      </c>
      <c r="Q32" s="132">
        <f t="shared" si="6"/>
        <v>21.628699214672672</v>
      </c>
      <c r="R32" s="132">
        <f t="shared" si="6"/>
        <v>1</v>
      </c>
      <c r="S32" s="132">
        <f t="shared" si="6"/>
        <v>21.628699999578131</v>
      </c>
    </row>
    <row r="33" spans="1:19" x14ac:dyDescent="0.3">
      <c r="A33" s="2">
        <v>8</v>
      </c>
      <c r="B33" s="134">
        <v>1</v>
      </c>
      <c r="C33" s="134">
        <v>106.68887979403104</v>
      </c>
      <c r="D33" s="134">
        <v>106.68887979403104</v>
      </c>
      <c r="E33" s="134">
        <v>42.257399999156263</v>
      </c>
      <c r="F33" s="134">
        <v>42.257399999156263</v>
      </c>
      <c r="G33" s="134">
        <v>42.257398429345351</v>
      </c>
      <c r="H33" s="134">
        <v>107.0187459227981</v>
      </c>
      <c r="I33" s="134">
        <v>42.257399999156263</v>
      </c>
      <c r="K33" s="2" t="s">
        <v>358</v>
      </c>
      <c r="L33" s="132">
        <f t="shared" si="7"/>
        <v>1</v>
      </c>
      <c r="M33" s="132">
        <f t="shared" si="6"/>
        <v>1</v>
      </c>
      <c r="N33" s="132">
        <f t="shared" si="6"/>
        <v>1</v>
      </c>
      <c r="O33" s="132">
        <f t="shared" si="6"/>
        <v>21.628699999578131</v>
      </c>
      <c r="P33" s="132">
        <f t="shared" si="6"/>
        <v>21.628699999578131</v>
      </c>
      <c r="Q33" s="132">
        <f t="shared" si="6"/>
        <v>21.628699214672675</v>
      </c>
      <c r="R33" s="132">
        <f t="shared" si="6"/>
        <v>86.390046237182162</v>
      </c>
      <c r="S33" s="132">
        <f t="shared" si="6"/>
        <v>21.628699999578131</v>
      </c>
    </row>
    <row r="34" spans="1:19" x14ac:dyDescent="0.3">
      <c r="A34" s="2">
        <v>9</v>
      </c>
      <c r="B34" s="134">
        <v>0</v>
      </c>
      <c r="C34" s="134">
        <v>105.68887979403104</v>
      </c>
      <c r="D34" s="134">
        <v>105.68887979403104</v>
      </c>
      <c r="E34" s="134">
        <v>20.628699999578131</v>
      </c>
      <c r="F34" s="134">
        <v>20.628699999578131</v>
      </c>
      <c r="G34" s="134">
        <v>20.628699214672675</v>
      </c>
      <c r="H34" s="134">
        <v>20.628699685615949</v>
      </c>
      <c r="I34" s="134">
        <v>20.628699999578131</v>
      </c>
    </row>
    <row r="35" spans="1:19" x14ac:dyDescent="0.3">
      <c r="A35" s="2">
        <v>1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</row>
    <row r="37" spans="1:19" x14ac:dyDescent="0.3">
      <c r="B37" s="124"/>
      <c r="C37" s="124" t="str">
        <f t="shared" ref="C37:I37" si="8">C25</f>
        <v>hátizsák-problémaként értelmezhető-e</v>
      </c>
      <c r="D37" s="124" t="str">
        <f t="shared" si="8"/>
        <v>minél kevesebb a maradvány, annál jobb</v>
      </c>
      <c r="E37" s="124" t="str">
        <f t="shared" si="8"/>
        <v>van-e szubjektív súlyozási lehetőség</v>
      </c>
      <c r="F37" s="124" t="str">
        <f t="shared" si="8"/>
        <v>van-e objektív súlyozási lehetőség</v>
      </c>
      <c r="G37" s="124" t="str">
        <f t="shared" si="8"/>
        <v>ár/teljesítmény index van-e? (árelőny)</v>
      </c>
      <c r="H37" s="124" t="str">
        <f t="shared" si="8"/>
        <v>attribútumok száma</v>
      </c>
      <c r="I37" s="124" t="str">
        <f t="shared" si="8"/>
        <v>ktg adat része-e</v>
      </c>
      <c r="J37" s="124" t="str">
        <f>J14</f>
        <v>Y0</v>
      </c>
      <c r="K37" s="2" t="s">
        <v>359</v>
      </c>
      <c r="L37" s="2" t="s">
        <v>360</v>
      </c>
    </row>
    <row r="38" spans="1:19" x14ac:dyDescent="0.3">
      <c r="A38" s="2" t="str">
        <f>A15</f>
        <v>rnd1</v>
      </c>
      <c r="B38" s="133"/>
      <c r="C38" s="133">
        <f t="shared" ref="C38:I38" si="9">VLOOKUP(C15,$A$26:$I$34,C$35,0)</f>
        <v>105.68887979403104</v>
      </c>
      <c r="D38" s="133">
        <f t="shared" si="9"/>
        <v>105.68887979403104</v>
      </c>
      <c r="E38" s="133">
        <f t="shared" si="9"/>
        <v>120.55999114438924</v>
      </c>
      <c r="F38" s="133">
        <f t="shared" si="9"/>
        <v>198.39261094321049</v>
      </c>
      <c r="G38" s="133">
        <f t="shared" si="9"/>
        <v>177.88619926733421</v>
      </c>
      <c r="H38" s="133">
        <f t="shared" si="9"/>
        <v>107.0187459227981</v>
      </c>
      <c r="I38" s="133">
        <f t="shared" si="9"/>
        <v>161.88969313420577</v>
      </c>
      <c r="J38" s="124">
        <f t="shared" ref="J38:J46" si="10">J15</f>
        <v>1000</v>
      </c>
      <c r="K38" s="133">
        <f>SUM(B38:I38)</f>
        <v>977.12499999999989</v>
      </c>
      <c r="L38" s="132">
        <f>J38-K38</f>
        <v>22.875000000000114</v>
      </c>
    </row>
    <row r="39" spans="1:19" x14ac:dyDescent="0.3">
      <c r="A39" s="2" t="str">
        <f t="shared" ref="A39:A46" si="11">A16</f>
        <v>rnd2</v>
      </c>
      <c r="B39" s="133"/>
      <c r="C39" s="133">
        <f t="shared" ref="C39:I46" si="12">VLOOKUP(C16,$A$26:$I$34,C$35,0)</f>
        <v>113.68887979403108</v>
      </c>
      <c r="D39" s="133">
        <f t="shared" si="12"/>
        <v>113.68887979403108</v>
      </c>
      <c r="E39" s="133">
        <f t="shared" si="12"/>
        <v>120.55999114438924</v>
      </c>
      <c r="F39" s="133">
        <f t="shared" si="12"/>
        <v>198.39261094321049</v>
      </c>
      <c r="G39" s="133">
        <f t="shared" si="12"/>
        <v>177.88619926733421</v>
      </c>
      <c r="H39" s="133">
        <f t="shared" si="12"/>
        <v>107.0187459227981</v>
      </c>
      <c r="I39" s="133">
        <f t="shared" si="12"/>
        <v>161.88969313420577</v>
      </c>
      <c r="J39" s="124">
        <f t="shared" si="10"/>
        <v>1000</v>
      </c>
      <c r="K39" s="133">
        <f t="shared" ref="K39:K46" si="13">SUM(B39:I39)</f>
        <v>993.12499999999989</v>
      </c>
      <c r="L39" s="132">
        <f t="shared" ref="L39:L46" si="14">J39-K39</f>
        <v>6.8750000000001137</v>
      </c>
    </row>
    <row r="40" spans="1:19" x14ac:dyDescent="0.3">
      <c r="A40" s="2" t="str">
        <f t="shared" si="11"/>
        <v>*ofn_1</v>
      </c>
      <c r="B40" s="133"/>
      <c r="C40" s="133">
        <f t="shared" si="12"/>
        <v>113.68887979403108</v>
      </c>
      <c r="D40" s="133">
        <f t="shared" si="12"/>
        <v>113.68887979403108</v>
      </c>
      <c r="E40" s="133">
        <f t="shared" si="12"/>
        <v>126.55999114438922</v>
      </c>
      <c r="F40" s="133">
        <f t="shared" si="12"/>
        <v>198.39261094321049</v>
      </c>
      <c r="G40" s="133">
        <f t="shared" si="12"/>
        <v>177.88619926733421</v>
      </c>
      <c r="H40" s="133">
        <f t="shared" si="12"/>
        <v>111.0187459227981</v>
      </c>
      <c r="I40" s="133">
        <f t="shared" si="12"/>
        <v>164.88969313420569</v>
      </c>
      <c r="J40" s="124">
        <f t="shared" si="10"/>
        <v>1000</v>
      </c>
      <c r="K40" s="133">
        <f t="shared" si="13"/>
        <v>1006.1249999999998</v>
      </c>
      <c r="L40" s="132">
        <f t="shared" si="14"/>
        <v>-6.1249999999997726</v>
      </c>
    </row>
    <row r="41" spans="1:19" x14ac:dyDescent="0.3">
      <c r="A41" s="2" t="str">
        <f t="shared" si="11"/>
        <v>*ofn_2</v>
      </c>
      <c r="B41" s="133"/>
      <c r="C41" s="133">
        <f t="shared" si="12"/>
        <v>113.68887979403108</v>
      </c>
      <c r="D41" s="133">
        <f t="shared" si="12"/>
        <v>113.68887979403108</v>
      </c>
      <c r="E41" s="133">
        <f t="shared" si="12"/>
        <v>126.55999114438922</v>
      </c>
      <c r="F41" s="133">
        <f t="shared" si="12"/>
        <v>198.39261094321049</v>
      </c>
      <c r="G41" s="133">
        <f t="shared" si="12"/>
        <v>177.88619926733421</v>
      </c>
      <c r="H41" s="133">
        <f t="shared" si="12"/>
        <v>110.0187459227981</v>
      </c>
      <c r="I41" s="133">
        <f t="shared" si="12"/>
        <v>161.88969313420577</v>
      </c>
      <c r="J41" s="124">
        <f t="shared" si="10"/>
        <v>1000</v>
      </c>
      <c r="K41" s="133">
        <f t="shared" si="13"/>
        <v>1002.1249999999999</v>
      </c>
      <c r="L41" s="132">
        <f t="shared" si="14"/>
        <v>-2.1249999999998863</v>
      </c>
    </row>
    <row r="42" spans="1:19" x14ac:dyDescent="0.3">
      <c r="A42" s="2" t="str">
        <f t="shared" si="11"/>
        <v>*ofn_3</v>
      </c>
      <c r="B42" s="133"/>
      <c r="C42" s="133">
        <f t="shared" si="12"/>
        <v>113.68887979403108</v>
      </c>
      <c r="D42" s="133">
        <f t="shared" si="12"/>
        <v>113.68887979403108</v>
      </c>
      <c r="E42" s="133">
        <f t="shared" si="12"/>
        <v>126.55999114438922</v>
      </c>
      <c r="F42" s="133">
        <f t="shared" si="12"/>
        <v>198.39261094321049</v>
      </c>
      <c r="G42" s="133">
        <f t="shared" si="12"/>
        <v>177.88619926733421</v>
      </c>
      <c r="H42" s="133">
        <f t="shared" si="12"/>
        <v>112.01874592279812</v>
      </c>
      <c r="I42" s="133">
        <f t="shared" si="12"/>
        <v>161.88969313420577</v>
      </c>
      <c r="J42" s="124">
        <f t="shared" si="10"/>
        <v>1000</v>
      </c>
      <c r="K42" s="133">
        <f t="shared" si="13"/>
        <v>1004.1249999999999</v>
      </c>
      <c r="L42" s="132">
        <f t="shared" si="14"/>
        <v>-4.1249999999998863</v>
      </c>
    </row>
    <row r="43" spans="1:19" x14ac:dyDescent="0.3">
      <c r="A43" s="2" t="str">
        <f t="shared" si="11"/>
        <v>*ofn_4</v>
      </c>
      <c r="B43" s="133"/>
      <c r="C43" s="133">
        <f t="shared" si="12"/>
        <v>113.68887979403108</v>
      </c>
      <c r="D43" s="133">
        <f t="shared" si="12"/>
        <v>113.68887979403108</v>
      </c>
      <c r="E43" s="133">
        <f t="shared" si="12"/>
        <v>126.55999114438922</v>
      </c>
      <c r="F43" s="133">
        <f t="shared" si="12"/>
        <v>198.39261094321049</v>
      </c>
      <c r="G43" s="133">
        <f t="shared" si="12"/>
        <v>177.88619926733421</v>
      </c>
      <c r="H43" s="133">
        <f t="shared" si="12"/>
        <v>113.01874592279812</v>
      </c>
      <c r="I43" s="133">
        <f t="shared" si="12"/>
        <v>161.88969313420577</v>
      </c>
      <c r="J43" s="124">
        <f t="shared" si="10"/>
        <v>1000</v>
      </c>
      <c r="K43" s="133">
        <f t="shared" si="13"/>
        <v>1005.1249999999999</v>
      </c>
      <c r="L43" s="132">
        <f t="shared" si="14"/>
        <v>-5.1249999999998863</v>
      </c>
    </row>
    <row r="44" spans="1:19" x14ac:dyDescent="0.3">
      <c r="A44" s="2" t="str">
        <f t="shared" si="11"/>
        <v>*ofn_5</v>
      </c>
      <c r="B44" s="133"/>
      <c r="C44" s="133"/>
      <c r="D44" s="133"/>
      <c r="E44" s="133"/>
      <c r="F44" s="133"/>
      <c r="G44" s="133"/>
      <c r="H44" s="133"/>
      <c r="I44" s="133"/>
      <c r="J44" s="124"/>
      <c r="K44" s="133"/>
      <c r="L44" s="132"/>
    </row>
    <row r="45" spans="1:19" x14ac:dyDescent="0.3">
      <c r="A45" s="2" t="str">
        <f t="shared" si="11"/>
        <v>*ofn_12</v>
      </c>
      <c r="B45" s="133"/>
      <c r="C45" s="133">
        <f t="shared" si="12"/>
        <v>113.68887979403108</v>
      </c>
      <c r="D45" s="133">
        <f t="shared" si="12"/>
        <v>113.68887979403108</v>
      </c>
      <c r="E45" s="133">
        <f t="shared" si="12"/>
        <v>120.55999114438924</v>
      </c>
      <c r="F45" s="133">
        <f t="shared" si="12"/>
        <v>198.39261094321049</v>
      </c>
      <c r="G45" s="133">
        <f t="shared" si="12"/>
        <v>178.88619926733412</v>
      </c>
      <c r="H45" s="133">
        <f t="shared" si="12"/>
        <v>110.0187459227981</v>
      </c>
      <c r="I45" s="133">
        <f t="shared" si="12"/>
        <v>164.88969313420569</v>
      </c>
      <c r="J45" s="124">
        <f t="shared" si="10"/>
        <v>1000</v>
      </c>
      <c r="K45" s="133">
        <f t="shared" si="13"/>
        <v>1000.1249999999998</v>
      </c>
      <c r="L45" s="132">
        <f t="shared" si="14"/>
        <v>-0.12499999999977263</v>
      </c>
    </row>
    <row r="46" spans="1:19" x14ac:dyDescent="0.3">
      <c r="A46" s="2" t="str">
        <f t="shared" si="11"/>
        <v>tananyag</v>
      </c>
      <c r="B46" s="133"/>
      <c r="C46" s="133">
        <f t="shared" si="12"/>
        <v>113.68887979403108</v>
      </c>
      <c r="D46" s="133">
        <f t="shared" si="12"/>
        <v>113.68887979403108</v>
      </c>
      <c r="E46" s="133">
        <f t="shared" si="12"/>
        <v>126.55999114438922</v>
      </c>
      <c r="F46" s="133">
        <f t="shared" si="12"/>
        <v>199.39261094321049</v>
      </c>
      <c r="G46" s="133">
        <f t="shared" si="12"/>
        <v>179.88619926733412</v>
      </c>
      <c r="H46" s="133">
        <f t="shared" si="12"/>
        <v>114.0187459227981</v>
      </c>
      <c r="I46" s="133">
        <f t="shared" si="12"/>
        <v>164.88969313420569</v>
      </c>
      <c r="J46" s="124">
        <f t="shared" si="10"/>
        <v>1000</v>
      </c>
      <c r="K46" s="133">
        <f t="shared" si="13"/>
        <v>1012.1249999999998</v>
      </c>
      <c r="L46" s="132">
        <f t="shared" si="14"/>
        <v>-12.124999999999773</v>
      </c>
    </row>
    <row r="47" spans="1:19" x14ac:dyDescent="0.3">
      <c r="L47" s="132"/>
    </row>
    <row r="48" spans="1:19" x14ac:dyDescent="0.3">
      <c r="J48" s="2">
        <f>SUM(J38:J46)</f>
        <v>8000</v>
      </c>
      <c r="K48" s="133">
        <f>SUM(K38:K46)</f>
        <v>7999.9999999999991</v>
      </c>
      <c r="L48" s="132">
        <f>SUMSQ(L38:L46)</f>
        <v>802.87499999999613</v>
      </c>
    </row>
  </sheetData>
  <conditionalFormatting sqref="B15: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7" location="'2ofn'!H1" display="'2ofn'!H1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5871-7445-499D-80E2-F2018C1E6E44}">
  <dimension ref="A1:S48"/>
  <sheetViews>
    <sheetView topLeftCell="A26" workbookViewId="0">
      <selection activeCell="B26" sqref="B26:I34"/>
    </sheetView>
  </sheetViews>
  <sheetFormatPr defaultColWidth="9.109375" defaultRowHeight="14.4" x14ac:dyDescent="0.3"/>
  <cols>
    <col min="1" max="1" width="25" style="2" bestFit="1" customWidth="1"/>
    <col min="2" max="2" width="13.6640625" style="2" customWidth="1"/>
    <col min="3" max="8" width="10.5546875" style="2" bestFit="1" customWidth="1"/>
    <col min="9" max="9" width="9.5546875" style="2" bestFit="1" customWidth="1"/>
    <col min="10" max="10" width="9.109375" style="2"/>
    <col min="11" max="11" width="13.6640625" style="2" bestFit="1" customWidth="1"/>
    <col min="12" max="16384" width="9.109375" style="2"/>
  </cols>
  <sheetData>
    <row r="1" spans="1:11" x14ac:dyDescent="0.3">
      <c r="A1" s="2" t="s">
        <v>306</v>
      </c>
    </row>
    <row r="2" spans="1:11" x14ac:dyDescent="0.3">
      <c r="A2" s="2" t="s">
        <v>307</v>
      </c>
      <c r="B2" s="2">
        <v>1</v>
      </c>
      <c r="C2" s="129">
        <v>0</v>
      </c>
      <c r="D2" s="2">
        <v>0</v>
      </c>
      <c r="E2" s="129">
        <v>0</v>
      </c>
      <c r="F2" s="129">
        <v>0</v>
      </c>
      <c r="G2" s="129">
        <v>0</v>
      </c>
      <c r="H2" s="2">
        <v>0</v>
      </c>
      <c r="I2" s="2">
        <v>0</v>
      </c>
    </row>
    <row r="3" spans="1:11" ht="72" x14ac:dyDescent="0.3">
      <c r="B3" s="124" t="s">
        <v>329</v>
      </c>
      <c r="C3" s="130" t="s">
        <v>345</v>
      </c>
      <c r="D3" s="131" t="s">
        <v>347</v>
      </c>
      <c r="E3" s="124" t="s">
        <v>349</v>
      </c>
      <c r="F3" s="124" t="s">
        <v>350</v>
      </c>
      <c r="G3" s="124" t="s">
        <v>352</v>
      </c>
      <c r="H3" s="124" t="s">
        <v>353</v>
      </c>
      <c r="I3" s="124" t="s">
        <v>354</v>
      </c>
      <c r="J3" s="2" t="s">
        <v>355</v>
      </c>
      <c r="K3" s="2" t="s">
        <v>0</v>
      </c>
    </row>
    <row r="4" spans="1:11" x14ac:dyDescent="0.3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1000</v>
      </c>
    </row>
    <row r="5" spans="1:11" x14ac:dyDescent="0.3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1000</v>
      </c>
    </row>
    <row r="6" spans="1:11" x14ac:dyDescent="0.3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  <c r="J6" s="2">
        <v>1000</v>
      </c>
    </row>
    <row r="7" spans="1:11" x14ac:dyDescent="0.3">
      <c r="A7" s="2" t="s">
        <v>309</v>
      </c>
      <c r="B7" s="125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  <c r="J7" s="2">
        <v>1000</v>
      </c>
    </row>
    <row r="8" spans="1:11" x14ac:dyDescent="0.3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  <c r="J8" s="2">
        <v>1000</v>
      </c>
    </row>
    <row r="9" spans="1:11" x14ac:dyDescent="0.3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  <c r="J9" s="2">
        <v>1000</v>
      </c>
    </row>
    <row r="10" spans="1:11" x14ac:dyDescent="0.3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  <c r="J10" s="2">
        <v>1000</v>
      </c>
    </row>
    <row r="11" spans="1:11" x14ac:dyDescent="0.3">
      <c r="A11" s="2" t="s">
        <v>330</v>
      </c>
      <c r="B11" s="2">
        <f>'12ofn'!F15</f>
        <v>11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2</v>
      </c>
      <c r="I11" s="2">
        <v>1</v>
      </c>
      <c r="J11" s="2">
        <v>1000</v>
      </c>
    </row>
    <row r="12" spans="1:11" x14ac:dyDescent="0.3">
      <c r="A12" s="2" t="s">
        <v>351</v>
      </c>
      <c r="B12" s="2">
        <v>99</v>
      </c>
      <c r="C12" s="2">
        <v>1</v>
      </c>
      <c r="D12" s="2">
        <v>1</v>
      </c>
      <c r="E12" s="2">
        <v>1</v>
      </c>
      <c r="F12" s="2">
        <v>1</v>
      </c>
      <c r="G12" s="2">
        <v>2</v>
      </c>
      <c r="H12" s="2">
        <v>33</v>
      </c>
      <c r="I12" s="2">
        <v>1</v>
      </c>
      <c r="J12" s="2">
        <v>1000</v>
      </c>
    </row>
    <row r="14" spans="1:11" ht="72" x14ac:dyDescent="0.3">
      <c r="B14" s="124" t="str">
        <f>B3</f>
        <v>A1=képletek/függvények/műveletek/... Száma</v>
      </c>
      <c r="C14" s="124" t="str">
        <f t="shared" ref="C14:J23" si="0">C3</f>
        <v>hátizsák-problémaként értelmezhető-e</v>
      </c>
      <c r="D14" s="124" t="str">
        <f t="shared" si="0"/>
        <v>minél kevesebb a maradvány, annál jobb</v>
      </c>
      <c r="E14" s="124" t="str">
        <f t="shared" si="0"/>
        <v>van-e szubjektív súlyozási lehetőség</v>
      </c>
      <c r="F14" s="124" t="str">
        <f t="shared" si="0"/>
        <v>van-e objektív súlyozási lehetőség</v>
      </c>
      <c r="G14" s="124" t="str">
        <f t="shared" si="0"/>
        <v>ár/teljesítmény index van-e? (árelőny)</v>
      </c>
      <c r="H14" s="124" t="str">
        <f t="shared" si="0"/>
        <v>attribútumok száma</v>
      </c>
      <c r="I14" s="124" t="str">
        <f t="shared" si="0"/>
        <v>ktg adat része-e</v>
      </c>
      <c r="J14" s="124" t="str">
        <f t="shared" si="0"/>
        <v>Y0</v>
      </c>
    </row>
    <row r="15" spans="1:11" x14ac:dyDescent="0.3">
      <c r="A15" s="2" t="str">
        <f>A4</f>
        <v>rnd1</v>
      </c>
      <c r="B15" s="2">
        <f>RANK(B4,B$4:B$12,B$2)</f>
        <v>1</v>
      </c>
      <c r="C15" s="2">
        <f t="shared" ref="C15:I15" si="1">RANK(C4,C$4:C$12,C$2)</f>
        <v>9</v>
      </c>
      <c r="D15" s="2">
        <f t="shared" si="1"/>
        <v>9</v>
      </c>
      <c r="E15" s="2">
        <f t="shared" si="1"/>
        <v>7</v>
      </c>
      <c r="F15" s="2">
        <f t="shared" si="1"/>
        <v>2</v>
      </c>
      <c r="G15" s="2">
        <f t="shared" si="1"/>
        <v>3</v>
      </c>
      <c r="H15" s="2">
        <f t="shared" si="1"/>
        <v>8</v>
      </c>
      <c r="I15" s="2">
        <f t="shared" si="1"/>
        <v>4</v>
      </c>
      <c r="J15" s="124">
        <f t="shared" si="0"/>
        <v>1000</v>
      </c>
    </row>
    <row r="16" spans="1:11" x14ac:dyDescent="0.3">
      <c r="A16" s="2" t="str">
        <f t="shared" ref="A16:A23" si="2">A5</f>
        <v>rnd2</v>
      </c>
      <c r="B16" s="2">
        <f t="shared" ref="B16:I23" si="3">RANK(B5,B$4:B$12,B$2)</f>
        <v>2</v>
      </c>
      <c r="C16" s="2">
        <f t="shared" si="3"/>
        <v>1</v>
      </c>
      <c r="D16" s="2">
        <f t="shared" si="3"/>
        <v>1</v>
      </c>
      <c r="E16" s="2">
        <f t="shared" si="3"/>
        <v>7</v>
      </c>
      <c r="F16" s="2">
        <f t="shared" si="3"/>
        <v>2</v>
      </c>
      <c r="G16" s="2">
        <f t="shared" si="3"/>
        <v>3</v>
      </c>
      <c r="H16" s="2">
        <f t="shared" si="3"/>
        <v>8</v>
      </c>
      <c r="I16" s="2">
        <f t="shared" si="3"/>
        <v>4</v>
      </c>
      <c r="J16" s="124">
        <f t="shared" si="0"/>
        <v>1000</v>
      </c>
    </row>
    <row r="17" spans="1:19" x14ac:dyDescent="0.3">
      <c r="A17" s="2" t="str">
        <f t="shared" si="2"/>
        <v>*ofn_1</v>
      </c>
      <c r="B17" s="2">
        <f t="shared" si="3"/>
        <v>4</v>
      </c>
      <c r="C17" s="2">
        <f t="shared" si="3"/>
        <v>1</v>
      </c>
      <c r="D17" s="2">
        <f t="shared" si="3"/>
        <v>1</v>
      </c>
      <c r="E17" s="2">
        <f t="shared" si="3"/>
        <v>1</v>
      </c>
      <c r="F17" s="2">
        <f t="shared" si="3"/>
        <v>2</v>
      </c>
      <c r="G17" s="2">
        <f t="shared" si="3"/>
        <v>3</v>
      </c>
      <c r="H17" s="2">
        <f t="shared" si="3"/>
        <v>4</v>
      </c>
      <c r="I17" s="2">
        <f t="shared" si="3"/>
        <v>1</v>
      </c>
      <c r="J17" s="124">
        <f t="shared" si="0"/>
        <v>1000</v>
      </c>
    </row>
    <row r="18" spans="1:19" x14ac:dyDescent="0.3">
      <c r="A18" s="2" t="str">
        <f t="shared" si="2"/>
        <v>*ofn_2</v>
      </c>
      <c r="B18" s="2">
        <f t="shared" si="3"/>
        <v>3</v>
      </c>
      <c r="C18" s="2">
        <f t="shared" si="3"/>
        <v>1</v>
      </c>
      <c r="D18" s="2">
        <f t="shared" si="3"/>
        <v>1</v>
      </c>
      <c r="E18" s="2">
        <f t="shared" si="3"/>
        <v>1</v>
      </c>
      <c r="F18" s="2">
        <f t="shared" si="3"/>
        <v>2</v>
      </c>
      <c r="G18" s="2">
        <f t="shared" si="3"/>
        <v>3</v>
      </c>
      <c r="H18" s="2">
        <f t="shared" si="3"/>
        <v>5</v>
      </c>
      <c r="I18" s="2">
        <f t="shared" si="3"/>
        <v>4</v>
      </c>
      <c r="J18" s="124">
        <f t="shared" si="0"/>
        <v>1000</v>
      </c>
    </row>
    <row r="19" spans="1:19" x14ac:dyDescent="0.3">
      <c r="A19" s="2" t="str">
        <f t="shared" si="2"/>
        <v>*ofn_3</v>
      </c>
      <c r="B19" s="2">
        <f t="shared" si="3"/>
        <v>5</v>
      </c>
      <c r="C19" s="2">
        <f t="shared" si="3"/>
        <v>1</v>
      </c>
      <c r="D19" s="2">
        <f t="shared" si="3"/>
        <v>1</v>
      </c>
      <c r="E19" s="2">
        <f t="shared" si="3"/>
        <v>1</v>
      </c>
      <c r="F19" s="2">
        <f t="shared" si="3"/>
        <v>2</v>
      </c>
      <c r="G19" s="2">
        <f t="shared" si="3"/>
        <v>3</v>
      </c>
      <c r="H19" s="2">
        <f t="shared" si="3"/>
        <v>3</v>
      </c>
      <c r="I19" s="2">
        <f t="shared" si="3"/>
        <v>4</v>
      </c>
      <c r="J19" s="124">
        <f t="shared" si="0"/>
        <v>1000</v>
      </c>
    </row>
    <row r="20" spans="1:19" x14ac:dyDescent="0.3">
      <c r="A20" s="2" t="str">
        <f t="shared" si="2"/>
        <v>*ofn_4</v>
      </c>
      <c r="B20" s="2">
        <f t="shared" si="3"/>
        <v>8</v>
      </c>
      <c r="C20" s="2">
        <f t="shared" si="3"/>
        <v>1</v>
      </c>
      <c r="D20" s="2">
        <f t="shared" si="3"/>
        <v>1</v>
      </c>
      <c r="E20" s="2">
        <f t="shared" si="3"/>
        <v>1</v>
      </c>
      <c r="F20" s="2">
        <f t="shared" si="3"/>
        <v>2</v>
      </c>
      <c r="G20" s="2">
        <f t="shared" si="3"/>
        <v>3</v>
      </c>
      <c r="H20" s="2">
        <f t="shared" si="3"/>
        <v>2</v>
      </c>
      <c r="I20" s="2">
        <f t="shared" si="3"/>
        <v>4</v>
      </c>
      <c r="J20" s="124">
        <f t="shared" si="0"/>
        <v>1000</v>
      </c>
    </row>
    <row r="21" spans="1:19" x14ac:dyDescent="0.3">
      <c r="A21" s="2" t="str">
        <f t="shared" si="2"/>
        <v>*ofn_5</v>
      </c>
      <c r="B21" s="2">
        <f t="shared" si="3"/>
        <v>6</v>
      </c>
      <c r="C21" s="2">
        <f t="shared" si="3"/>
        <v>1</v>
      </c>
      <c r="D21" s="2">
        <f t="shared" si="3"/>
        <v>1</v>
      </c>
      <c r="E21" s="2">
        <f t="shared" si="3"/>
        <v>1</v>
      </c>
      <c r="F21" s="2">
        <f t="shared" si="3"/>
        <v>2</v>
      </c>
      <c r="G21" s="2">
        <f t="shared" si="3"/>
        <v>3</v>
      </c>
      <c r="H21" s="2">
        <f t="shared" si="3"/>
        <v>5</v>
      </c>
      <c r="I21" s="2">
        <f t="shared" si="3"/>
        <v>4</v>
      </c>
      <c r="J21" s="124">
        <f t="shared" si="0"/>
        <v>1000</v>
      </c>
    </row>
    <row r="22" spans="1:19" x14ac:dyDescent="0.3">
      <c r="A22" s="2" t="str">
        <f t="shared" si="2"/>
        <v>*ofn_12</v>
      </c>
      <c r="B22" s="2">
        <f t="shared" si="3"/>
        <v>6</v>
      </c>
      <c r="C22" s="2">
        <f t="shared" si="3"/>
        <v>1</v>
      </c>
      <c r="D22" s="2">
        <f t="shared" si="3"/>
        <v>1</v>
      </c>
      <c r="E22" s="2">
        <f t="shared" si="3"/>
        <v>7</v>
      </c>
      <c r="F22" s="2">
        <f t="shared" si="3"/>
        <v>2</v>
      </c>
      <c r="G22" s="2">
        <f t="shared" si="3"/>
        <v>2</v>
      </c>
      <c r="H22" s="2">
        <f t="shared" si="3"/>
        <v>5</v>
      </c>
      <c r="I22" s="2">
        <f t="shared" si="3"/>
        <v>1</v>
      </c>
      <c r="J22" s="124">
        <f t="shared" si="0"/>
        <v>1000</v>
      </c>
    </row>
    <row r="23" spans="1:19" x14ac:dyDescent="0.3">
      <c r="A23" s="2" t="str">
        <f t="shared" si="2"/>
        <v>tananyag</v>
      </c>
      <c r="B23" s="2">
        <f t="shared" si="3"/>
        <v>9</v>
      </c>
      <c r="C23" s="2">
        <f t="shared" si="3"/>
        <v>1</v>
      </c>
      <c r="D23" s="2">
        <f t="shared" si="3"/>
        <v>1</v>
      </c>
      <c r="E23" s="2">
        <f t="shared" si="3"/>
        <v>1</v>
      </c>
      <c r="F23" s="2">
        <f t="shared" si="3"/>
        <v>1</v>
      </c>
      <c r="G23" s="2">
        <f t="shared" si="3"/>
        <v>1</v>
      </c>
      <c r="H23" s="2">
        <f t="shared" si="3"/>
        <v>1</v>
      </c>
      <c r="I23" s="2">
        <f t="shared" si="3"/>
        <v>1</v>
      </c>
      <c r="J23" s="124">
        <f t="shared" si="0"/>
        <v>1000</v>
      </c>
    </row>
    <row r="25" spans="1:19" ht="86.4" x14ac:dyDescent="0.3">
      <c r="A25" s="2" t="s">
        <v>356</v>
      </c>
      <c r="B25" s="124" t="str">
        <f>B14</f>
        <v>A1=képletek/függvények/műveletek/... Száma</v>
      </c>
      <c r="C25" s="124" t="str">
        <f t="shared" ref="C25:I25" si="4">C14</f>
        <v>hátizsák-problémaként értelmezhető-e</v>
      </c>
      <c r="D25" s="124" t="str">
        <f t="shared" si="4"/>
        <v>minél kevesebb a maradvány, annál jobb</v>
      </c>
      <c r="E25" s="124" t="str">
        <f t="shared" si="4"/>
        <v>van-e szubjektív súlyozási lehetőség</v>
      </c>
      <c r="F25" s="124" t="str">
        <f t="shared" si="4"/>
        <v>van-e objektív súlyozási lehetőség</v>
      </c>
      <c r="G25" s="124" t="str">
        <f t="shared" si="4"/>
        <v>ár/teljesítmény index van-e? (árelőny)</v>
      </c>
      <c r="H25" s="124" t="str">
        <f t="shared" si="4"/>
        <v>attribútumok száma</v>
      </c>
      <c r="I25" s="124" t="str">
        <f t="shared" si="4"/>
        <v>ktg adat része-e</v>
      </c>
      <c r="L25" s="124" t="str">
        <f>B25</f>
        <v>A1=képletek/függvények/műveletek/... Száma</v>
      </c>
      <c r="M25" s="124" t="str">
        <f t="shared" ref="M25:S25" si="5">C25</f>
        <v>hátizsák-problémaként értelmezhető-e</v>
      </c>
      <c r="N25" s="124" t="str">
        <f t="shared" si="5"/>
        <v>minél kevesebb a maradvány, annál jobb</v>
      </c>
      <c r="O25" s="124" t="str">
        <f t="shared" si="5"/>
        <v>van-e szubjektív súlyozási lehetőség</v>
      </c>
      <c r="P25" s="124" t="str">
        <f t="shared" si="5"/>
        <v>van-e objektív súlyozási lehetőség</v>
      </c>
      <c r="Q25" s="124" t="str">
        <f t="shared" si="5"/>
        <v>ár/teljesítmény index van-e? (árelőny)</v>
      </c>
      <c r="R25" s="124" t="str">
        <f t="shared" si="5"/>
        <v>attribútumok száma</v>
      </c>
      <c r="S25" s="124" t="str">
        <f t="shared" si="5"/>
        <v>ktg adat része-e</v>
      </c>
    </row>
    <row r="26" spans="1:19" x14ac:dyDescent="0.3">
      <c r="A26" s="2">
        <v>1</v>
      </c>
      <c r="B26" s="134">
        <v>170.22079457893309</v>
      </c>
      <c r="C26" s="134">
        <v>121.15959871518891</v>
      </c>
      <c r="D26" s="134">
        <v>121.15959866229502</v>
      </c>
      <c r="E26" s="134">
        <v>116.06385175589176</v>
      </c>
      <c r="F26" s="134">
        <v>177.59098136101676</v>
      </c>
      <c r="G26" s="134">
        <v>166.7043304296964</v>
      </c>
      <c r="H26" s="134">
        <v>119.48030242955667</v>
      </c>
      <c r="I26" s="134">
        <v>149.57907838937669</v>
      </c>
      <c r="K26" s="2" t="s">
        <v>357</v>
      </c>
      <c r="L26" s="132">
        <f>B26-B27</f>
        <v>81.567663399109819</v>
      </c>
      <c r="M26" s="132">
        <f t="shared" ref="M26:S33" si="6">C26-C27</f>
        <v>0.99999999981731946</v>
      </c>
      <c r="N26" s="132">
        <f t="shared" si="6"/>
        <v>0.9999999998172342</v>
      </c>
      <c r="O26" s="132">
        <f t="shared" si="6"/>
        <v>0.99999999958568253</v>
      </c>
      <c r="P26" s="132">
        <f t="shared" si="6"/>
        <v>1.000000000005798</v>
      </c>
      <c r="Q26" s="132">
        <f t="shared" si="6"/>
        <v>1.000000000585743</v>
      </c>
      <c r="R26" s="132">
        <f t="shared" si="6"/>
        <v>0.99999999977731591</v>
      </c>
      <c r="S26" s="132">
        <f t="shared" si="6"/>
        <v>1.0000000000404441</v>
      </c>
    </row>
    <row r="27" spans="1:19" x14ac:dyDescent="0.3">
      <c r="A27" s="2">
        <v>2</v>
      </c>
      <c r="B27" s="134">
        <v>88.653131179823276</v>
      </c>
      <c r="C27" s="134">
        <v>120.15959871537159</v>
      </c>
      <c r="D27" s="134">
        <v>120.15959866247779</v>
      </c>
      <c r="E27" s="134">
        <v>115.06385175630608</v>
      </c>
      <c r="F27" s="134">
        <v>176.59098136101096</v>
      </c>
      <c r="G27" s="134">
        <v>165.70433042911066</v>
      </c>
      <c r="H27" s="134">
        <v>118.48030242977936</v>
      </c>
      <c r="I27" s="134">
        <v>148.57907838933625</v>
      </c>
      <c r="L27" s="132">
        <f t="shared" ref="L27:L33" si="7">B27-B28</f>
        <v>8.9999953922887954</v>
      </c>
      <c r="M27" s="132">
        <f t="shared" si="6"/>
        <v>0.99999999981410781</v>
      </c>
      <c r="N27" s="132">
        <f t="shared" si="6"/>
        <v>0.99999999981416465</v>
      </c>
      <c r="O27" s="132">
        <f t="shared" si="6"/>
        <v>0.99999999957813657</v>
      </c>
      <c r="P27" s="132">
        <f t="shared" si="6"/>
        <v>36.86421266563346</v>
      </c>
      <c r="Q27" s="132">
        <f t="shared" si="6"/>
        <v>9.0000024562338865</v>
      </c>
      <c r="R27" s="132">
        <f t="shared" si="6"/>
        <v>31.390893646547752</v>
      </c>
      <c r="S27" s="132">
        <f t="shared" si="6"/>
        <v>1.0000000000412399</v>
      </c>
    </row>
    <row r="28" spans="1:19" x14ac:dyDescent="0.3">
      <c r="A28" s="2">
        <v>3</v>
      </c>
      <c r="B28" s="134">
        <v>79.653135787534481</v>
      </c>
      <c r="C28" s="134">
        <v>119.15959871555748</v>
      </c>
      <c r="D28" s="134">
        <v>119.15959866266363</v>
      </c>
      <c r="E28" s="134">
        <v>114.06385175672794</v>
      </c>
      <c r="F28" s="134">
        <v>139.7267686953775</v>
      </c>
      <c r="G28" s="134">
        <v>156.70432797287677</v>
      </c>
      <c r="H28" s="134">
        <v>87.089408783231605</v>
      </c>
      <c r="I28" s="134">
        <v>147.57907838929501</v>
      </c>
      <c r="L28" s="132">
        <f t="shared" si="7"/>
        <v>4.0000046688454347</v>
      </c>
      <c r="M28" s="132">
        <f t="shared" si="6"/>
        <v>11.716439770755841</v>
      </c>
      <c r="N28" s="132">
        <f t="shared" si="6"/>
        <v>11.716439717861988</v>
      </c>
      <c r="O28" s="132">
        <f t="shared" si="6"/>
        <v>0.99999999957070429</v>
      </c>
      <c r="P28" s="132">
        <f t="shared" si="6"/>
        <v>20.103824099339647</v>
      </c>
      <c r="Q28" s="132">
        <f t="shared" si="6"/>
        <v>37.081383376838915</v>
      </c>
      <c r="R28" s="132">
        <f t="shared" si="6"/>
        <v>3.9999925377679233</v>
      </c>
      <c r="S28" s="132">
        <f t="shared" si="6"/>
        <v>1.0000000000417799</v>
      </c>
    </row>
    <row r="29" spans="1:19" x14ac:dyDescent="0.3">
      <c r="A29" s="2">
        <v>4</v>
      </c>
      <c r="B29" s="134">
        <v>75.653131118689046</v>
      </c>
      <c r="C29" s="134">
        <v>107.44315894480164</v>
      </c>
      <c r="D29" s="134">
        <v>107.44315894480164</v>
      </c>
      <c r="E29" s="134">
        <v>113.06385175715724</v>
      </c>
      <c r="F29" s="134">
        <v>119.62294459603785</v>
      </c>
      <c r="G29" s="134">
        <v>119.62294459603785</v>
      </c>
      <c r="H29" s="134">
        <v>83.089416245463681</v>
      </c>
      <c r="I29" s="134">
        <v>146.57907838925323</v>
      </c>
      <c r="L29" s="132">
        <f t="shared" si="7"/>
        <v>0.99999999997105249</v>
      </c>
      <c r="M29" s="132">
        <f t="shared" si="6"/>
        <v>17.667867085913315</v>
      </c>
      <c r="N29" s="132">
        <f t="shared" si="6"/>
        <v>17.667867085913315</v>
      </c>
      <c r="O29" s="132">
        <f t="shared" si="6"/>
        <v>0.99999999956274621</v>
      </c>
      <c r="P29" s="132">
        <f t="shared" si="6"/>
        <v>20.103824099339647</v>
      </c>
      <c r="Q29" s="132">
        <f t="shared" si="6"/>
        <v>20.103824099339647</v>
      </c>
      <c r="R29" s="132">
        <f t="shared" si="6"/>
        <v>1.0000000013114487</v>
      </c>
      <c r="S29" s="132">
        <f t="shared" si="6"/>
        <v>47.059952051509981</v>
      </c>
    </row>
    <row r="30" spans="1:19" x14ac:dyDescent="0.3">
      <c r="A30" s="2">
        <v>5</v>
      </c>
      <c r="B30" s="134">
        <v>74.653131118717994</v>
      </c>
      <c r="C30" s="134">
        <v>89.775291858888323</v>
      </c>
      <c r="D30" s="134">
        <v>89.775291858888323</v>
      </c>
      <c r="E30" s="134">
        <v>112.06385175759449</v>
      </c>
      <c r="F30" s="134">
        <v>99.519120496698207</v>
      </c>
      <c r="G30" s="134">
        <v>99.519120496698207</v>
      </c>
      <c r="H30" s="134">
        <v>82.089416244152233</v>
      </c>
      <c r="I30" s="134">
        <v>99.519126337743245</v>
      </c>
      <c r="L30" s="132">
        <f t="shared" si="7"/>
        <v>0.99999999883912949</v>
      </c>
      <c r="M30" s="132">
        <f t="shared" si="6"/>
        <v>6.3995311608219083</v>
      </c>
      <c r="N30" s="132">
        <f t="shared" si="6"/>
        <v>6.3995311608219083</v>
      </c>
      <c r="O30" s="132">
        <f t="shared" si="6"/>
        <v>0.99999999955485919</v>
      </c>
      <c r="P30" s="132">
        <f t="shared" si="6"/>
        <v>20.103824099339633</v>
      </c>
      <c r="Q30" s="132">
        <f t="shared" si="6"/>
        <v>20.103824099339633</v>
      </c>
      <c r="R30" s="132">
        <f t="shared" si="6"/>
        <v>1.0000000013457395</v>
      </c>
      <c r="S30" s="132">
        <f t="shared" si="6"/>
        <v>20.103825267548643</v>
      </c>
    </row>
    <row r="31" spans="1:19" x14ac:dyDescent="0.3">
      <c r="A31" s="2">
        <v>6</v>
      </c>
      <c r="B31" s="134">
        <v>73.653131119878864</v>
      </c>
      <c r="C31" s="134">
        <v>83.375760698066415</v>
      </c>
      <c r="D31" s="134">
        <v>83.375760698066415</v>
      </c>
      <c r="E31" s="134">
        <v>111.06385175803963</v>
      </c>
      <c r="F31" s="134">
        <v>79.415296397358574</v>
      </c>
      <c r="G31" s="134">
        <v>79.415296397358574</v>
      </c>
      <c r="H31" s="134">
        <v>81.089416242806493</v>
      </c>
      <c r="I31" s="134">
        <v>79.415301070194602</v>
      </c>
      <c r="L31" s="132">
        <f t="shared" si="7"/>
        <v>21.461374468921015</v>
      </c>
      <c r="M31" s="132">
        <f t="shared" si="6"/>
        <v>0.99999999996336442</v>
      </c>
      <c r="N31" s="132">
        <f t="shared" si="6"/>
        <v>0.99999999996336442</v>
      </c>
      <c r="O31" s="132">
        <f t="shared" si="6"/>
        <v>0.99999999954680163</v>
      </c>
      <c r="P31" s="132">
        <f t="shared" si="6"/>
        <v>20.103824099339647</v>
      </c>
      <c r="Q31" s="132">
        <f t="shared" si="6"/>
        <v>20.103824099339647</v>
      </c>
      <c r="R31" s="132">
        <f t="shared" si="6"/>
        <v>1.0000000013814514</v>
      </c>
      <c r="S31" s="132">
        <f t="shared" si="6"/>
        <v>20.10382526754865</v>
      </c>
    </row>
    <row r="32" spans="1:19" x14ac:dyDescent="0.3">
      <c r="A32" s="2">
        <v>7</v>
      </c>
      <c r="B32" s="134">
        <v>52.191756650957849</v>
      </c>
      <c r="C32" s="134">
        <v>82.375760698103051</v>
      </c>
      <c r="D32" s="134">
        <v>82.375760698103051</v>
      </c>
      <c r="E32" s="134">
        <v>110.06385175849283</v>
      </c>
      <c r="F32" s="134">
        <v>59.311472298018927</v>
      </c>
      <c r="G32" s="134">
        <v>59.311472298018927</v>
      </c>
      <c r="H32" s="134">
        <v>80.089416241425042</v>
      </c>
      <c r="I32" s="134">
        <v>59.311475802645951</v>
      </c>
      <c r="L32" s="132">
        <f t="shared" si="7"/>
        <v>8.9295234019499077</v>
      </c>
      <c r="M32" s="132">
        <f t="shared" si="6"/>
        <v>0.99999999996224176</v>
      </c>
      <c r="N32" s="132">
        <f t="shared" si="6"/>
        <v>0.99999999996224176</v>
      </c>
      <c r="O32" s="132">
        <f t="shared" si="6"/>
        <v>70.85620239160454</v>
      </c>
      <c r="P32" s="132">
        <f t="shared" si="6"/>
        <v>20.10382409933964</v>
      </c>
      <c r="Q32" s="132">
        <f t="shared" si="6"/>
        <v>20.10382409933964</v>
      </c>
      <c r="R32" s="132">
        <f t="shared" si="6"/>
        <v>1.0000000014185275</v>
      </c>
      <c r="S32" s="132">
        <f t="shared" si="6"/>
        <v>20.10382526754865</v>
      </c>
    </row>
    <row r="33" spans="1:19" x14ac:dyDescent="0.3">
      <c r="A33" s="2">
        <v>8</v>
      </c>
      <c r="B33" s="134">
        <v>43.262233249007942</v>
      </c>
      <c r="C33" s="134">
        <v>81.375760698140809</v>
      </c>
      <c r="D33" s="134">
        <v>81.375760698140809</v>
      </c>
      <c r="E33" s="134">
        <v>39.207649366888297</v>
      </c>
      <c r="F33" s="134">
        <v>39.207648198679287</v>
      </c>
      <c r="G33" s="134">
        <v>39.207648198679287</v>
      </c>
      <c r="H33" s="134">
        <v>79.089416240006514</v>
      </c>
      <c r="I33" s="134">
        <v>39.207650535097301</v>
      </c>
      <c r="K33" s="2" t="s">
        <v>358</v>
      </c>
      <c r="L33" s="132">
        <f t="shared" si="7"/>
        <v>14.999999528901711</v>
      </c>
      <c r="M33" s="132">
        <f t="shared" si="6"/>
        <v>0.99999999996147437</v>
      </c>
      <c r="N33" s="132">
        <f t="shared" si="6"/>
        <v>0.99999999996147437</v>
      </c>
      <c r="O33" s="132">
        <f t="shared" si="6"/>
        <v>20.103824683444152</v>
      </c>
      <c r="P33" s="132">
        <f t="shared" si="6"/>
        <v>20.103824099339644</v>
      </c>
      <c r="Q33" s="132">
        <f t="shared" si="6"/>
        <v>20.103824099339644</v>
      </c>
      <c r="R33" s="132">
        <f t="shared" si="6"/>
        <v>59.985591702588493</v>
      </c>
      <c r="S33" s="132">
        <f t="shared" si="6"/>
        <v>20.10382526754865</v>
      </c>
    </row>
    <row r="34" spans="1:19" x14ac:dyDescent="0.3">
      <c r="A34" s="2">
        <v>9</v>
      </c>
      <c r="B34" s="134">
        <v>28.262233720106231</v>
      </c>
      <c r="C34" s="134">
        <v>80.375760698179334</v>
      </c>
      <c r="D34" s="134">
        <v>80.375760698179334</v>
      </c>
      <c r="E34" s="134">
        <v>19.103824683444145</v>
      </c>
      <c r="F34" s="134">
        <v>19.103824099339644</v>
      </c>
      <c r="G34" s="134">
        <v>19.103824099339644</v>
      </c>
      <c r="H34" s="134">
        <v>19.103824537418021</v>
      </c>
      <c r="I34" s="134">
        <v>19.10382526754865</v>
      </c>
    </row>
    <row r="35" spans="1:19" x14ac:dyDescent="0.3">
      <c r="A35" s="2">
        <v>1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</row>
    <row r="37" spans="1:19" ht="72" x14ac:dyDescent="0.3">
      <c r="B37" s="124" t="str">
        <f t="shared" ref="B37" si="8">B25</f>
        <v>A1=képletek/függvények/műveletek/... Száma</v>
      </c>
      <c r="C37" s="124" t="str">
        <f t="shared" ref="C37:I37" si="9">C25</f>
        <v>hátizsák-problémaként értelmezhető-e</v>
      </c>
      <c r="D37" s="124" t="str">
        <f t="shared" si="9"/>
        <v>minél kevesebb a maradvány, annál jobb</v>
      </c>
      <c r="E37" s="124" t="str">
        <f t="shared" si="9"/>
        <v>van-e szubjektív súlyozási lehetőség</v>
      </c>
      <c r="F37" s="124" t="str">
        <f t="shared" si="9"/>
        <v>van-e objektív súlyozási lehetőség</v>
      </c>
      <c r="G37" s="124" t="str">
        <f t="shared" si="9"/>
        <v>ár/teljesítmény index van-e? (árelőny)</v>
      </c>
      <c r="H37" s="124" t="str">
        <f t="shared" si="9"/>
        <v>attribútumok száma</v>
      </c>
      <c r="I37" s="124" t="str">
        <f t="shared" si="9"/>
        <v>ktg adat része-e</v>
      </c>
      <c r="J37" s="124" t="str">
        <f>J14</f>
        <v>Y0</v>
      </c>
      <c r="K37" s="2" t="s">
        <v>359</v>
      </c>
      <c r="L37" s="2" t="s">
        <v>360</v>
      </c>
    </row>
    <row r="38" spans="1:19" x14ac:dyDescent="0.3">
      <c r="A38" s="2" t="str">
        <f>A15</f>
        <v>rnd1</v>
      </c>
      <c r="B38" s="133">
        <f t="shared" ref="B38" si="10">VLOOKUP(B15,$A$26:$I$34,B$35,0)</f>
        <v>170.22079457893309</v>
      </c>
      <c r="C38" s="133">
        <f t="shared" ref="C38:I46" si="11">VLOOKUP(C15,$A$26:$I$34,C$35,0)</f>
        <v>80.375760698179334</v>
      </c>
      <c r="D38" s="133">
        <f t="shared" si="11"/>
        <v>80.375760698179334</v>
      </c>
      <c r="E38" s="133">
        <f t="shared" si="11"/>
        <v>110.06385175849283</v>
      </c>
      <c r="F38" s="133">
        <f t="shared" si="11"/>
        <v>176.59098136101096</v>
      </c>
      <c r="G38" s="133">
        <f t="shared" si="11"/>
        <v>156.70432797287677</v>
      </c>
      <c r="H38" s="133">
        <f t="shared" si="11"/>
        <v>79.089416240006514</v>
      </c>
      <c r="I38" s="133">
        <f t="shared" si="11"/>
        <v>146.57907838925323</v>
      </c>
      <c r="J38" s="124">
        <f t="shared" ref="J38:J46" si="12">J15</f>
        <v>1000</v>
      </c>
      <c r="K38" s="133">
        <f>SUM(B38:I38)</f>
        <v>999.99997169693199</v>
      </c>
      <c r="L38" s="132">
        <f>J38-K38</f>
        <v>2.8303068006607646E-5</v>
      </c>
    </row>
    <row r="39" spans="1:19" x14ac:dyDescent="0.3">
      <c r="A39" s="2" t="str">
        <f t="shared" ref="A39:A46" si="13">A16</f>
        <v>rnd2</v>
      </c>
      <c r="B39" s="133">
        <f t="shared" ref="B39" si="14">VLOOKUP(B16,$A$26:$I$34,B$35,0)</f>
        <v>88.653131179823276</v>
      </c>
      <c r="C39" s="133">
        <f t="shared" si="11"/>
        <v>121.15959871518891</v>
      </c>
      <c r="D39" s="133">
        <f t="shared" si="11"/>
        <v>121.15959866229502</v>
      </c>
      <c r="E39" s="133">
        <f t="shared" si="11"/>
        <v>110.06385175849283</v>
      </c>
      <c r="F39" s="133">
        <f t="shared" si="11"/>
        <v>176.59098136101096</v>
      </c>
      <c r="G39" s="133">
        <f t="shared" si="11"/>
        <v>156.70432797287677</v>
      </c>
      <c r="H39" s="133">
        <f t="shared" si="11"/>
        <v>79.089416240006514</v>
      </c>
      <c r="I39" s="133">
        <f t="shared" si="11"/>
        <v>146.57907838925323</v>
      </c>
      <c r="J39" s="124">
        <f t="shared" si="12"/>
        <v>1000</v>
      </c>
      <c r="K39" s="133">
        <f t="shared" ref="K39:K46" si="15">SUM(B39:I39)</f>
        <v>999.99998427894752</v>
      </c>
      <c r="L39" s="132">
        <f t="shared" ref="L39:L46" si="16">J39-K39</f>
        <v>1.5721052477601916E-5</v>
      </c>
    </row>
    <row r="40" spans="1:19" x14ac:dyDescent="0.3">
      <c r="A40" s="2" t="str">
        <f t="shared" si="13"/>
        <v>*ofn_1</v>
      </c>
      <c r="B40" s="133">
        <f t="shared" ref="B40" si="17">VLOOKUP(B17,$A$26:$I$34,B$35,0)</f>
        <v>75.653131118689046</v>
      </c>
      <c r="C40" s="133">
        <f t="shared" si="11"/>
        <v>121.15959871518891</v>
      </c>
      <c r="D40" s="133">
        <f t="shared" si="11"/>
        <v>121.15959866229502</v>
      </c>
      <c r="E40" s="133">
        <f t="shared" si="11"/>
        <v>116.06385175589176</v>
      </c>
      <c r="F40" s="133">
        <f t="shared" si="11"/>
        <v>176.59098136101096</v>
      </c>
      <c r="G40" s="133">
        <f t="shared" si="11"/>
        <v>156.70432797287677</v>
      </c>
      <c r="H40" s="133">
        <f t="shared" si="11"/>
        <v>83.089416245463681</v>
      </c>
      <c r="I40" s="133">
        <f t="shared" si="11"/>
        <v>149.57907838937669</v>
      </c>
      <c r="J40" s="124">
        <f t="shared" si="12"/>
        <v>1000</v>
      </c>
      <c r="K40" s="133">
        <f t="shared" si="15"/>
        <v>999.99998422079284</v>
      </c>
      <c r="L40" s="132">
        <f t="shared" si="16"/>
        <v>1.5779207160449005E-5</v>
      </c>
    </row>
    <row r="41" spans="1:19" x14ac:dyDescent="0.3">
      <c r="A41" s="2" t="str">
        <f t="shared" si="13"/>
        <v>*ofn_2</v>
      </c>
      <c r="B41" s="133">
        <f t="shared" ref="B41" si="18">VLOOKUP(B18,$A$26:$I$34,B$35,0)</f>
        <v>79.653135787534481</v>
      </c>
      <c r="C41" s="133">
        <f t="shared" si="11"/>
        <v>121.15959871518891</v>
      </c>
      <c r="D41" s="133">
        <f t="shared" si="11"/>
        <v>121.15959866229502</v>
      </c>
      <c r="E41" s="133">
        <f t="shared" si="11"/>
        <v>116.06385175589176</v>
      </c>
      <c r="F41" s="133">
        <f t="shared" si="11"/>
        <v>176.59098136101096</v>
      </c>
      <c r="G41" s="133">
        <f t="shared" si="11"/>
        <v>156.70432797287677</v>
      </c>
      <c r="H41" s="133">
        <f t="shared" si="11"/>
        <v>82.089416244152233</v>
      </c>
      <c r="I41" s="133">
        <f t="shared" si="11"/>
        <v>146.57907838925323</v>
      </c>
      <c r="J41" s="124">
        <f t="shared" si="12"/>
        <v>1000</v>
      </c>
      <c r="K41" s="133">
        <f t="shared" si="15"/>
        <v>999.99998888820323</v>
      </c>
      <c r="L41" s="132">
        <f t="shared" si="16"/>
        <v>1.1111796766272164E-5</v>
      </c>
    </row>
    <row r="42" spans="1:19" x14ac:dyDescent="0.3">
      <c r="A42" s="2" t="str">
        <f t="shared" si="13"/>
        <v>*ofn_3</v>
      </c>
      <c r="B42" s="133">
        <f t="shared" ref="B42" si="19">VLOOKUP(B19,$A$26:$I$34,B$35,0)</f>
        <v>74.653131118717994</v>
      </c>
      <c r="C42" s="133">
        <f t="shared" si="11"/>
        <v>121.15959871518891</v>
      </c>
      <c r="D42" s="133">
        <f t="shared" si="11"/>
        <v>121.15959866229502</v>
      </c>
      <c r="E42" s="133">
        <f t="shared" si="11"/>
        <v>116.06385175589176</v>
      </c>
      <c r="F42" s="133">
        <f t="shared" si="11"/>
        <v>176.59098136101096</v>
      </c>
      <c r="G42" s="133">
        <f t="shared" si="11"/>
        <v>156.70432797287677</v>
      </c>
      <c r="H42" s="133">
        <f t="shared" si="11"/>
        <v>87.089408783231605</v>
      </c>
      <c r="I42" s="133">
        <f t="shared" si="11"/>
        <v>146.57907838925323</v>
      </c>
      <c r="J42" s="124">
        <f t="shared" si="12"/>
        <v>1000</v>
      </c>
      <c r="K42" s="133">
        <f t="shared" si="15"/>
        <v>999.99997675846623</v>
      </c>
      <c r="L42" s="132">
        <f t="shared" si="16"/>
        <v>2.3241533767759393E-5</v>
      </c>
    </row>
    <row r="43" spans="1:19" x14ac:dyDescent="0.3">
      <c r="A43" s="2" t="str">
        <f t="shared" si="13"/>
        <v>*ofn_4</v>
      </c>
      <c r="B43" s="133">
        <f t="shared" ref="B43" si="20">VLOOKUP(B20,$A$26:$I$34,B$35,0)</f>
        <v>43.262233249007942</v>
      </c>
      <c r="C43" s="133">
        <f t="shared" si="11"/>
        <v>121.15959871518891</v>
      </c>
      <c r="D43" s="133">
        <f t="shared" si="11"/>
        <v>121.15959866229502</v>
      </c>
      <c r="E43" s="133">
        <f t="shared" si="11"/>
        <v>116.06385175589176</v>
      </c>
      <c r="F43" s="133">
        <f t="shared" si="11"/>
        <v>176.59098136101096</v>
      </c>
      <c r="G43" s="133">
        <f t="shared" si="11"/>
        <v>156.70432797287677</v>
      </c>
      <c r="H43" s="133">
        <f t="shared" si="11"/>
        <v>118.48030242977936</v>
      </c>
      <c r="I43" s="133">
        <f t="shared" si="11"/>
        <v>146.57907838925323</v>
      </c>
      <c r="J43" s="124">
        <f t="shared" si="12"/>
        <v>1000</v>
      </c>
      <c r="K43" s="133">
        <f t="shared" si="15"/>
        <v>999.99997253530398</v>
      </c>
      <c r="L43" s="132">
        <f t="shared" si="16"/>
        <v>2.7464696017887036E-5</v>
      </c>
    </row>
    <row r="44" spans="1:19" x14ac:dyDescent="0.3">
      <c r="A44" s="2" t="str">
        <f t="shared" si="13"/>
        <v>*ofn_5</v>
      </c>
      <c r="B44" s="133"/>
      <c r="C44" s="133"/>
      <c r="D44" s="133"/>
      <c r="E44" s="133"/>
      <c r="F44" s="133"/>
      <c r="G44" s="133"/>
      <c r="H44" s="133"/>
      <c r="I44" s="133"/>
      <c r="J44" s="124"/>
      <c r="K44" s="133"/>
      <c r="L44" s="132"/>
    </row>
    <row r="45" spans="1:19" x14ac:dyDescent="0.3">
      <c r="A45" s="2" t="str">
        <f t="shared" si="13"/>
        <v>*ofn_12</v>
      </c>
      <c r="B45" s="133">
        <f t="shared" ref="B45" si="21">VLOOKUP(B22,$A$26:$I$34,B$35,0)</f>
        <v>73.653131119878864</v>
      </c>
      <c r="C45" s="133">
        <f t="shared" si="11"/>
        <v>121.15959871518891</v>
      </c>
      <c r="D45" s="133">
        <f t="shared" si="11"/>
        <v>121.15959866229502</v>
      </c>
      <c r="E45" s="133">
        <f t="shared" si="11"/>
        <v>110.06385175849283</v>
      </c>
      <c r="F45" s="133">
        <f t="shared" si="11"/>
        <v>176.59098136101096</v>
      </c>
      <c r="G45" s="133">
        <f t="shared" si="11"/>
        <v>165.70433042911066</v>
      </c>
      <c r="H45" s="133">
        <f t="shared" si="11"/>
        <v>82.089416244152233</v>
      </c>
      <c r="I45" s="133">
        <f t="shared" si="11"/>
        <v>149.57907838937669</v>
      </c>
      <c r="J45" s="124">
        <f t="shared" si="12"/>
        <v>1000</v>
      </c>
      <c r="K45" s="133">
        <f t="shared" si="15"/>
        <v>999.99998667950626</v>
      </c>
      <c r="L45" s="132">
        <f t="shared" si="16"/>
        <v>1.3320493735591299E-5</v>
      </c>
    </row>
    <row r="46" spans="1:19" x14ac:dyDescent="0.3">
      <c r="A46" s="2" t="str">
        <f t="shared" si="13"/>
        <v>tananyag</v>
      </c>
      <c r="B46" s="133">
        <f t="shared" ref="B46" si="22">VLOOKUP(B23,$A$26:$I$34,B$35,0)</f>
        <v>28.262233720106231</v>
      </c>
      <c r="C46" s="133">
        <f t="shared" si="11"/>
        <v>121.15959871518891</v>
      </c>
      <c r="D46" s="133">
        <f t="shared" si="11"/>
        <v>121.15959866229502</v>
      </c>
      <c r="E46" s="133">
        <f t="shared" si="11"/>
        <v>116.06385175589176</v>
      </c>
      <c r="F46" s="133">
        <f t="shared" si="11"/>
        <v>177.59098136101676</v>
      </c>
      <c r="G46" s="133">
        <f t="shared" si="11"/>
        <v>166.7043304296964</v>
      </c>
      <c r="H46" s="133">
        <f t="shared" si="11"/>
        <v>119.48030242955667</v>
      </c>
      <c r="I46" s="133">
        <f t="shared" si="11"/>
        <v>149.57907838937669</v>
      </c>
      <c r="J46" s="124">
        <f t="shared" si="12"/>
        <v>1000</v>
      </c>
      <c r="K46" s="133">
        <f t="shared" si="15"/>
        <v>999.99997546312852</v>
      </c>
      <c r="L46" s="132">
        <f t="shared" si="16"/>
        <v>2.4536871478630928E-5</v>
      </c>
    </row>
    <row r="47" spans="1:19" x14ac:dyDescent="0.3">
      <c r="L47" s="132"/>
    </row>
    <row r="48" spans="1:19" x14ac:dyDescent="0.3">
      <c r="J48" s="2">
        <f>SUM(J38:J46)</f>
        <v>8000</v>
      </c>
      <c r="K48" s="133">
        <f>SUM(K38:K46)</f>
        <v>7999.9998405212791</v>
      </c>
      <c r="L48" s="132">
        <f>SUMSQ(L38:L46)</f>
        <v>3.494642590129091E-9</v>
      </c>
    </row>
  </sheetData>
  <conditionalFormatting sqref="B15: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7" location="'2ofn'!H1" display="'2ofn'!H1" xr:uid="{61A3284D-07AE-47B5-8579-26015AB6C2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="115" zoomScaleNormal="115" workbookViewId="0"/>
  </sheetViews>
  <sheetFormatPr defaultRowHeight="14.4" x14ac:dyDescent="0.3"/>
  <cols>
    <col min="1" max="1" width="167.6640625" bestFit="1" customWidth="1"/>
    <col min="2" max="2" width="40.33203125" bestFit="1" customWidth="1"/>
    <col min="8" max="8" width="13.109375" bestFit="1" customWidth="1"/>
  </cols>
  <sheetData>
    <row r="1" spans="1:8" ht="35.4" x14ac:dyDescent="0.3">
      <c r="A1" s="9"/>
      <c r="E1" t="s">
        <v>337</v>
      </c>
      <c r="F1" t="s">
        <v>337</v>
      </c>
      <c r="G1" t="s">
        <v>340</v>
      </c>
      <c r="H1" t="s">
        <v>341</v>
      </c>
    </row>
    <row r="2" spans="1:8" ht="21" x14ac:dyDescent="0.3">
      <c r="A2" s="10" t="s">
        <v>15</v>
      </c>
      <c r="B2" s="3" t="s">
        <v>332</v>
      </c>
      <c r="D2" t="s">
        <v>333</v>
      </c>
      <c r="E2" t="s">
        <v>334</v>
      </c>
      <c r="F2" t="s">
        <v>335</v>
      </c>
      <c r="G2" t="s">
        <v>336</v>
      </c>
    </row>
    <row r="3" spans="1:8" x14ac:dyDescent="0.3">
      <c r="A3" s="11" t="s">
        <v>16</v>
      </c>
      <c r="B3" s="3"/>
      <c r="D3">
        <v>1</v>
      </c>
      <c r="E3" t="s">
        <v>331</v>
      </c>
      <c r="F3" t="s">
        <v>331</v>
      </c>
    </row>
    <row r="4" spans="1:8" x14ac:dyDescent="0.3">
      <c r="A4" s="12" t="s">
        <v>17</v>
      </c>
      <c r="B4" s="3"/>
      <c r="D4">
        <v>2</v>
      </c>
      <c r="E4">
        <v>3</v>
      </c>
      <c r="F4">
        <v>3</v>
      </c>
      <c r="G4">
        <v>3</v>
      </c>
    </row>
    <row r="5" spans="1:8" x14ac:dyDescent="0.3">
      <c r="A5" s="12" t="s">
        <v>18</v>
      </c>
      <c r="B5" s="3"/>
      <c r="D5">
        <v>3</v>
      </c>
      <c r="E5">
        <v>2</v>
      </c>
      <c r="F5" t="s">
        <v>331</v>
      </c>
    </row>
    <row r="6" spans="1:8" x14ac:dyDescent="0.3">
      <c r="A6" s="12" t="s">
        <v>19</v>
      </c>
      <c r="B6" s="3"/>
      <c r="D6">
        <v>4</v>
      </c>
      <c r="E6">
        <v>1</v>
      </c>
      <c r="F6" t="s">
        <v>331</v>
      </c>
      <c r="G6">
        <v>2</v>
      </c>
    </row>
    <row r="7" spans="1:8" x14ac:dyDescent="0.3">
      <c r="A7" s="11" t="s">
        <v>20</v>
      </c>
      <c r="B7" s="3"/>
      <c r="D7">
        <v>5</v>
      </c>
      <c r="E7" t="s">
        <v>331</v>
      </c>
      <c r="F7" t="s">
        <v>331</v>
      </c>
    </row>
    <row r="8" spans="1:8" x14ac:dyDescent="0.3">
      <c r="A8" s="13" t="s">
        <v>21</v>
      </c>
      <c r="B8" s="3"/>
      <c r="D8">
        <v>6</v>
      </c>
      <c r="E8" t="s">
        <v>331</v>
      </c>
      <c r="F8" t="s">
        <v>331</v>
      </c>
    </row>
    <row r="9" spans="1:8" ht="21" x14ac:dyDescent="0.3">
      <c r="A9" s="10" t="s">
        <v>22</v>
      </c>
      <c r="B9" s="3" t="s">
        <v>35</v>
      </c>
      <c r="D9">
        <v>7</v>
      </c>
      <c r="E9" t="s">
        <v>331</v>
      </c>
      <c r="F9">
        <v>2</v>
      </c>
    </row>
    <row r="10" spans="1:8" x14ac:dyDescent="0.3">
      <c r="A10" s="11" t="s">
        <v>23</v>
      </c>
      <c r="B10" s="3"/>
      <c r="D10">
        <v>8</v>
      </c>
      <c r="E10" t="s">
        <v>331</v>
      </c>
      <c r="F10">
        <v>1</v>
      </c>
      <c r="G10">
        <v>1</v>
      </c>
    </row>
    <row r="11" spans="1:8" x14ac:dyDescent="0.3">
      <c r="A11" s="12" t="s">
        <v>24</v>
      </c>
      <c r="B11" s="3"/>
    </row>
    <row r="12" spans="1:8" x14ac:dyDescent="0.3">
      <c r="A12" s="12" t="s">
        <v>25</v>
      </c>
      <c r="B12" s="3"/>
    </row>
    <row r="13" spans="1:8" x14ac:dyDescent="0.3">
      <c r="A13" s="12" t="s">
        <v>26</v>
      </c>
      <c r="B13" s="3"/>
    </row>
    <row r="14" spans="1:8" x14ac:dyDescent="0.3">
      <c r="A14" s="11" t="s">
        <v>27</v>
      </c>
      <c r="B14" s="3"/>
    </row>
    <row r="15" spans="1:8" x14ac:dyDescent="0.3">
      <c r="A15" s="13" t="s">
        <v>28</v>
      </c>
      <c r="B15" s="3"/>
    </row>
    <row r="16" spans="1:8" ht="21" x14ac:dyDescent="0.3">
      <c r="A16" s="10" t="s">
        <v>29</v>
      </c>
      <c r="B16" s="3" t="s">
        <v>36</v>
      </c>
    </row>
    <row r="17" spans="1:2" x14ac:dyDescent="0.3">
      <c r="A17" s="11" t="s">
        <v>30</v>
      </c>
      <c r="B17" s="3"/>
    </row>
    <row r="18" spans="1:2" x14ac:dyDescent="0.3">
      <c r="A18" s="12" t="s">
        <v>31</v>
      </c>
      <c r="B18" s="3"/>
    </row>
    <row r="19" spans="1:2" x14ac:dyDescent="0.3">
      <c r="A19" s="12" t="s">
        <v>32</v>
      </c>
      <c r="B19" s="3"/>
    </row>
    <row r="20" spans="1:2" x14ac:dyDescent="0.3">
      <c r="A20" s="12" t="s">
        <v>26</v>
      </c>
      <c r="B20" s="3"/>
    </row>
    <row r="21" spans="1:2" x14ac:dyDescent="0.3">
      <c r="A21" s="11" t="s">
        <v>27</v>
      </c>
      <c r="B21" s="3"/>
    </row>
    <row r="22" spans="1:2" x14ac:dyDescent="0.3">
      <c r="A22" s="13" t="s">
        <v>33</v>
      </c>
      <c r="B22" s="3"/>
    </row>
    <row r="23" spans="1:2" x14ac:dyDescent="0.3">
      <c r="A23" s="11" t="s">
        <v>34</v>
      </c>
      <c r="B23" s="3"/>
    </row>
    <row r="25" spans="1:2" ht="28.8" x14ac:dyDescent="0.3">
      <c r="A25" s="3" t="s">
        <v>38</v>
      </c>
      <c r="B25" s="14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8"/>
  <sheetViews>
    <sheetView topLeftCell="D1" zoomScale="115" zoomScaleNormal="115" workbookViewId="0">
      <selection activeCell="J3" sqref="J3"/>
    </sheetView>
  </sheetViews>
  <sheetFormatPr defaultColWidth="8.88671875" defaultRowHeight="14.4" x14ac:dyDescent="0.3"/>
  <cols>
    <col min="1" max="1" width="8.88671875" style="15"/>
    <col min="2" max="2" width="7.6640625" style="15" bestFit="1" customWidth="1"/>
    <col min="3" max="3" width="35.5546875" style="15" bestFit="1" customWidth="1"/>
    <col min="4" max="4" width="30.109375" style="15" bestFit="1" customWidth="1"/>
    <col min="5" max="5" width="17.33203125" style="15" bestFit="1" customWidth="1"/>
    <col min="6" max="6" width="19.44140625" style="15" bestFit="1" customWidth="1"/>
    <col min="7" max="7" width="22.33203125" style="15" bestFit="1" customWidth="1"/>
    <col min="8" max="8" width="22.6640625" style="15" bestFit="1" customWidth="1"/>
    <col min="9" max="9" width="21.109375" style="15" bestFit="1" customWidth="1"/>
    <col min="10" max="10" width="14.109375" style="15" bestFit="1" customWidth="1"/>
    <col min="11" max="11" width="6.5546875" style="15" bestFit="1" customWidth="1"/>
    <col min="12" max="12" width="8.109375" style="15" bestFit="1" customWidth="1"/>
    <col min="13" max="13" width="15.109375" style="15" bestFit="1" customWidth="1"/>
    <col min="14" max="16384" width="8.88671875" style="15"/>
  </cols>
  <sheetData>
    <row r="1" spans="2:13" x14ac:dyDescent="0.3">
      <c r="B1" s="128" t="s">
        <v>342</v>
      </c>
      <c r="H1" s="15">
        <v>8</v>
      </c>
      <c r="J1" s="15">
        <v>9</v>
      </c>
      <c r="L1" s="15">
        <v>10</v>
      </c>
    </row>
    <row r="2" spans="2:13" x14ac:dyDescent="0.3">
      <c r="B2" s="15" t="s">
        <v>39</v>
      </c>
      <c r="C2" s="15" t="s">
        <v>40</v>
      </c>
      <c r="D2" s="15" t="s">
        <v>41</v>
      </c>
      <c r="E2" s="15" t="s">
        <v>42</v>
      </c>
      <c r="F2" s="15" t="s">
        <v>43</v>
      </c>
      <c r="G2" s="15" t="s">
        <v>44</v>
      </c>
      <c r="H2" s="15" t="s">
        <v>45</v>
      </c>
      <c r="I2" s="15" t="s">
        <v>46</v>
      </c>
      <c r="J2" s="15" t="s">
        <v>47</v>
      </c>
      <c r="L2" s="15" t="s">
        <v>48</v>
      </c>
      <c r="M2" s="15" t="s">
        <v>49</v>
      </c>
    </row>
    <row r="3" spans="2:13" x14ac:dyDescent="0.3">
      <c r="B3" s="15" t="s">
        <v>50</v>
      </c>
      <c r="C3" s="15">
        <f>18*800</f>
        <v>14400</v>
      </c>
      <c r="D3" s="15">
        <v>18</v>
      </c>
      <c r="E3" s="15">
        <v>0</v>
      </c>
      <c r="F3" s="15">
        <v>52</v>
      </c>
      <c r="G3" s="15">
        <v>75</v>
      </c>
      <c r="H3" s="15">
        <v>0.2</v>
      </c>
      <c r="I3" s="15">
        <v>1</v>
      </c>
      <c r="J3" s="15">
        <f>(D3+E3)*(G3-F3)*H3*I3</f>
        <v>82.800000000000011</v>
      </c>
      <c r="L3" s="15">
        <v>7</v>
      </c>
      <c r="M3" s="15">
        <f>$C$13-C9</f>
        <v>10400</v>
      </c>
    </row>
    <row r="4" spans="2:13" x14ac:dyDescent="0.3">
      <c r="B4" s="15" t="s">
        <v>51</v>
      </c>
      <c r="C4" s="15">
        <v>2400</v>
      </c>
      <c r="D4" s="15">
        <v>1</v>
      </c>
      <c r="E4" s="15">
        <v>0</v>
      </c>
      <c r="F4" s="15">
        <v>18</v>
      </c>
      <c r="G4" s="15">
        <v>75</v>
      </c>
      <c r="H4" s="15">
        <v>0.2</v>
      </c>
      <c r="I4" s="15">
        <v>1</v>
      </c>
      <c r="J4" s="15">
        <f t="shared" ref="J4:J10" si="0">(D4+E4)*(G4-F4)*H4*I4</f>
        <v>11.4</v>
      </c>
      <c r="L4" s="15">
        <v>8</v>
      </c>
      <c r="M4" s="15">
        <f>M3-C9</f>
        <v>4300</v>
      </c>
    </row>
    <row r="5" spans="2:13" x14ac:dyDescent="0.3">
      <c r="B5" s="15" t="s">
        <v>52</v>
      </c>
      <c r="C5" s="15">
        <v>5200</v>
      </c>
      <c r="D5" s="15">
        <v>1</v>
      </c>
      <c r="E5" s="15">
        <v>0</v>
      </c>
      <c r="F5" s="15">
        <v>51</v>
      </c>
      <c r="G5" s="15">
        <v>58</v>
      </c>
      <c r="H5" s="15">
        <v>0.5</v>
      </c>
      <c r="I5" s="15">
        <v>1</v>
      </c>
      <c r="J5" s="15">
        <f t="shared" si="0"/>
        <v>3.5</v>
      </c>
      <c r="L5" s="15">
        <v>6</v>
      </c>
      <c r="M5" s="15">
        <f>M4-C8</f>
        <v>-1300</v>
      </c>
    </row>
    <row r="6" spans="2:13" x14ac:dyDescent="0.3">
      <c r="B6" s="15" t="s">
        <v>53</v>
      </c>
      <c r="C6" s="15">
        <v>6500</v>
      </c>
      <c r="D6" s="15">
        <v>1</v>
      </c>
      <c r="E6" s="15">
        <v>0</v>
      </c>
      <c r="F6" s="15">
        <v>10</v>
      </c>
      <c r="G6" s="15">
        <v>16</v>
      </c>
      <c r="H6" s="15">
        <v>0.5</v>
      </c>
      <c r="I6" s="15">
        <v>1</v>
      </c>
      <c r="J6" s="15">
        <f t="shared" si="0"/>
        <v>3</v>
      </c>
      <c r="L6" s="15">
        <v>5</v>
      </c>
      <c r="M6" s="15">
        <f>M4-C7</f>
        <v>0</v>
      </c>
    </row>
    <row r="7" spans="2:13" x14ac:dyDescent="0.3">
      <c r="B7" s="15" t="s">
        <v>54</v>
      </c>
      <c r="C7" s="15">
        <v>4300</v>
      </c>
      <c r="D7" s="15">
        <f>ROUNDUP(900*5/D13,0)</f>
        <v>27</v>
      </c>
      <c r="E7" s="15">
        <f>50*D7</f>
        <v>1350</v>
      </c>
      <c r="F7" s="15">
        <v>35</v>
      </c>
      <c r="G7" s="15">
        <v>75</v>
      </c>
      <c r="H7" s="15">
        <v>0.5</v>
      </c>
      <c r="I7" s="15">
        <v>1</v>
      </c>
      <c r="J7" s="15">
        <f t="shared" si="0"/>
        <v>27540</v>
      </c>
      <c r="L7" s="15">
        <v>1</v>
      </c>
      <c r="M7" s="15">
        <f>M4-C3</f>
        <v>-10100</v>
      </c>
    </row>
    <row r="8" spans="2:13" x14ac:dyDescent="0.3">
      <c r="B8" s="15" t="s">
        <v>55</v>
      </c>
      <c r="C8" s="15">
        <v>5600</v>
      </c>
      <c r="D8" s="15">
        <v>1</v>
      </c>
      <c r="E8" s="15">
        <f>ROUNDUP(9730772/D13,0)</f>
        <v>58269</v>
      </c>
      <c r="F8" s="15">
        <v>43</v>
      </c>
      <c r="G8" s="15">
        <v>75</v>
      </c>
      <c r="H8" s="15">
        <v>0.2</v>
      </c>
      <c r="I8" s="15">
        <v>1</v>
      </c>
      <c r="J8" s="15">
        <f t="shared" si="0"/>
        <v>372928</v>
      </c>
      <c r="L8" s="15">
        <v>2</v>
      </c>
      <c r="M8" s="15">
        <f>M4-C4</f>
        <v>1900</v>
      </c>
    </row>
    <row r="9" spans="2:13" x14ac:dyDescent="0.3">
      <c r="B9" s="15" t="s">
        <v>56</v>
      </c>
      <c r="C9" s="15">
        <v>6100</v>
      </c>
      <c r="D9" s="15">
        <f>E8</f>
        <v>58269</v>
      </c>
      <c r="E9" s="15">
        <v>0</v>
      </c>
      <c r="F9" s="15">
        <v>43</v>
      </c>
      <c r="G9" s="15">
        <v>75</v>
      </c>
      <c r="H9" s="15">
        <v>1</v>
      </c>
      <c r="I9" s="15">
        <v>0.33</v>
      </c>
      <c r="J9" s="16">
        <f t="shared" si="0"/>
        <v>615320.64</v>
      </c>
      <c r="L9" s="15">
        <v>3</v>
      </c>
      <c r="M9" s="15">
        <f>M4-C5</f>
        <v>-900</v>
      </c>
    </row>
    <row r="10" spans="2:13" x14ac:dyDescent="0.3">
      <c r="B10" s="15" t="s">
        <v>57</v>
      </c>
      <c r="C10" s="15">
        <v>7200</v>
      </c>
      <c r="D10" s="15">
        <v>130000</v>
      </c>
      <c r="E10" s="15">
        <v>0</v>
      </c>
      <c r="F10" s="15">
        <v>43</v>
      </c>
      <c r="G10" s="15">
        <v>75</v>
      </c>
      <c r="H10" s="15">
        <v>1</v>
      </c>
      <c r="I10" s="15">
        <v>0.14000000000000001</v>
      </c>
      <c r="J10" s="15">
        <f t="shared" si="0"/>
        <v>582400</v>
      </c>
      <c r="L10" s="15">
        <v>4</v>
      </c>
      <c r="M10" s="15">
        <f>M4-C6</f>
        <v>-2200</v>
      </c>
    </row>
    <row r="12" spans="2:13" x14ac:dyDescent="0.3">
      <c r="C12" s="15" t="s">
        <v>58</v>
      </c>
      <c r="D12" s="15" t="s">
        <v>59</v>
      </c>
      <c r="F12" s="15" t="s">
        <v>60</v>
      </c>
      <c r="G12" s="15" t="s">
        <v>61</v>
      </c>
      <c r="H12" s="15" t="s">
        <v>62</v>
      </c>
      <c r="I12" s="15" t="s">
        <v>63</v>
      </c>
      <c r="K12" s="15" t="s">
        <v>64</v>
      </c>
    </row>
    <row r="13" spans="2:13" x14ac:dyDescent="0.3">
      <c r="C13" s="15">
        <v>16500</v>
      </c>
      <c r="D13" s="15">
        <v>167</v>
      </c>
      <c r="H13" s="15" t="s">
        <v>65</v>
      </c>
      <c r="I13" s="15" t="s">
        <v>66</v>
      </c>
      <c r="K13" s="15">
        <v>7</v>
      </c>
    </row>
    <row r="14" spans="2:13" x14ac:dyDescent="0.3">
      <c r="H14" s="15" t="s">
        <v>67</v>
      </c>
      <c r="I14" s="15" t="s">
        <v>68</v>
      </c>
      <c r="K14" s="15">
        <v>8</v>
      </c>
    </row>
    <row r="15" spans="2:13" x14ac:dyDescent="0.3">
      <c r="C15" s="15" t="s">
        <v>69</v>
      </c>
      <c r="K15" s="15">
        <v>5</v>
      </c>
    </row>
    <row r="18" spans="3:3" x14ac:dyDescent="0.3">
      <c r="C18" s="17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6"/>
  <sheetViews>
    <sheetView zoomScale="115" zoomScaleNormal="115" workbookViewId="0">
      <selection activeCell="G1" sqref="B1:G1"/>
    </sheetView>
  </sheetViews>
  <sheetFormatPr defaultColWidth="8.88671875" defaultRowHeight="14.4" x14ac:dyDescent="0.3"/>
  <cols>
    <col min="1" max="1" width="10.88671875" style="23" bestFit="1" customWidth="1"/>
    <col min="2" max="2" width="7.44140625" style="23" bestFit="1" customWidth="1"/>
    <col min="3" max="3" width="12.6640625" style="23" bestFit="1" customWidth="1"/>
    <col min="4" max="4" width="11" style="23" bestFit="1" customWidth="1"/>
    <col min="5" max="5" width="9" style="23" bestFit="1" customWidth="1"/>
    <col min="6" max="6" width="4.109375" style="23" bestFit="1" customWidth="1"/>
    <col min="7" max="7" width="4.6640625" style="23" bestFit="1" customWidth="1"/>
    <col min="8" max="8" width="35.88671875" style="24" bestFit="1" customWidth="1"/>
    <col min="9" max="9" width="27.88671875" style="24" bestFit="1" customWidth="1"/>
    <col min="10" max="10" width="20.5546875" style="24" bestFit="1" customWidth="1"/>
    <col min="11" max="11" width="25.6640625" style="24" bestFit="1" customWidth="1"/>
    <col min="12" max="12" width="11.88671875" style="22" bestFit="1" customWidth="1"/>
    <col min="13" max="13" width="9.44140625" style="22" bestFit="1" customWidth="1"/>
    <col min="14" max="14" width="46" style="24" bestFit="1" customWidth="1"/>
    <col min="15" max="15" width="3" style="22" customWidth="1"/>
    <col min="16" max="16" width="2.6640625" style="22" customWidth="1"/>
    <col min="17" max="17" width="3" style="22" customWidth="1"/>
    <col min="18" max="18" width="5.6640625" style="22" bestFit="1" customWidth="1"/>
    <col min="19" max="19" width="9.44140625" style="22" bestFit="1" customWidth="1"/>
    <col min="20" max="1024" width="11.88671875" style="22" customWidth="1"/>
    <col min="1025" max="16384" width="8.88671875" style="26"/>
  </cols>
  <sheetData>
    <row r="1" spans="1:19" s="18" customFormat="1" ht="29.1" customHeight="1" x14ac:dyDescent="0.3">
      <c r="A1" s="18" t="s">
        <v>71</v>
      </c>
      <c r="B1" s="18" t="s">
        <v>72</v>
      </c>
      <c r="C1" s="18" t="s">
        <v>73</v>
      </c>
      <c r="D1" s="18" t="s">
        <v>74</v>
      </c>
      <c r="E1" s="18" t="s">
        <v>75</v>
      </c>
      <c r="F1" s="18" t="s">
        <v>76</v>
      </c>
      <c r="G1" s="18" t="s">
        <v>77</v>
      </c>
      <c r="H1" s="19" t="s">
        <v>78</v>
      </c>
      <c r="I1" s="19" t="s">
        <v>79</v>
      </c>
      <c r="J1" s="19" t="s">
        <v>80</v>
      </c>
      <c r="K1" s="19" t="s">
        <v>81</v>
      </c>
      <c r="M1" s="18" t="s">
        <v>82</v>
      </c>
      <c r="N1" s="20" t="s">
        <v>83</v>
      </c>
      <c r="O1" s="21"/>
      <c r="R1" s="18" t="s">
        <v>84</v>
      </c>
      <c r="S1" s="22">
        <v>16500000</v>
      </c>
    </row>
    <row r="2" spans="1:19" ht="43.2" x14ac:dyDescent="0.3">
      <c r="A2" s="23">
        <v>1</v>
      </c>
      <c r="B2" s="23">
        <v>18</v>
      </c>
      <c r="C2" s="23">
        <v>800000</v>
      </c>
      <c r="D2" s="23">
        <f>C2*B2</f>
        <v>14400000</v>
      </c>
      <c r="E2" s="23" t="s">
        <v>85</v>
      </c>
      <c r="F2" s="23">
        <v>6</v>
      </c>
      <c r="G2" s="23">
        <v>12</v>
      </c>
      <c r="H2" s="24" t="s">
        <v>86</v>
      </c>
      <c r="I2" s="24" t="s">
        <v>87</v>
      </c>
      <c r="J2" s="24" t="s">
        <v>88</v>
      </c>
      <c r="K2" s="24" t="s">
        <v>89</v>
      </c>
      <c r="N2" s="25" t="s">
        <v>90</v>
      </c>
    </row>
    <row r="3" spans="1:19" ht="28.8" x14ac:dyDescent="0.3">
      <c r="A3" s="23">
        <v>2</v>
      </c>
      <c r="B3" s="23">
        <v>1</v>
      </c>
      <c r="C3" s="23">
        <v>2400000</v>
      </c>
      <c r="D3" s="23">
        <f>C3*B3</f>
        <v>2400000</v>
      </c>
      <c r="E3" s="23">
        <v>18</v>
      </c>
      <c r="F3" s="23">
        <v>1</v>
      </c>
      <c r="G3" s="23">
        <v>0</v>
      </c>
      <c r="H3" s="24" t="s">
        <v>91</v>
      </c>
      <c r="I3" s="24" t="s">
        <v>92</v>
      </c>
      <c r="J3" s="24" t="s">
        <v>93</v>
      </c>
      <c r="K3" s="24" t="s">
        <v>94</v>
      </c>
      <c r="M3" s="22" t="s">
        <v>95</v>
      </c>
      <c r="N3" s="24" t="s">
        <v>96</v>
      </c>
    </row>
    <row r="4" spans="1:19" ht="57.6" x14ac:dyDescent="0.3">
      <c r="A4" s="23">
        <v>3</v>
      </c>
      <c r="B4" s="23">
        <v>1</v>
      </c>
      <c r="C4" s="23">
        <v>5200000</v>
      </c>
      <c r="D4" s="23">
        <f>C4*B4</f>
        <v>5200000</v>
      </c>
      <c r="E4" s="23">
        <v>51</v>
      </c>
      <c r="F4" s="23">
        <v>1</v>
      </c>
      <c r="G4" s="23">
        <v>0</v>
      </c>
      <c r="H4" s="24" t="s">
        <v>97</v>
      </c>
      <c r="I4" s="24" t="s">
        <v>98</v>
      </c>
      <c r="J4" s="24" t="s">
        <v>99</v>
      </c>
      <c r="K4" s="24" t="s">
        <v>100</v>
      </c>
    </row>
    <row r="5" spans="1:19" ht="28.8" x14ac:dyDescent="0.3">
      <c r="A5" s="23">
        <v>4</v>
      </c>
      <c r="B5" s="23">
        <v>1</v>
      </c>
      <c r="C5" s="23">
        <v>6500000</v>
      </c>
      <c r="D5" s="23">
        <f>C5*B5</f>
        <v>6500000</v>
      </c>
      <c r="E5" s="23">
        <v>10</v>
      </c>
      <c r="F5" s="23">
        <v>1</v>
      </c>
      <c r="G5" s="23">
        <v>0</v>
      </c>
      <c r="H5" s="24" t="s">
        <v>101</v>
      </c>
      <c r="I5" s="24" t="s">
        <v>102</v>
      </c>
      <c r="J5" s="24" t="s">
        <v>103</v>
      </c>
      <c r="K5" s="24" t="s">
        <v>104</v>
      </c>
    </row>
    <row r="6" spans="1:19" ht="72" x14ac:dyDescent="0.3">
      <c r="A6" s="23">
        <v>5.0999999999999996</v>
      </c>
      <c r="B6" s="23" t="s">
        <v>105</v>
      </c>
      <c r="C6" s="23" t="s">
        <v>106</v>
      </c>
      <c r="D6" s="23">
        <v>16000000</v>
      </c>
      <c r="E6" s="23">
        <v>30</v>
      </c>
      <c r="F6" s="23" t="s">
        <v>107</v>
      </c>
      <c r="G6" s="23" t="s">
        <v>108</v>
      </c>
      <c r="H6" s="24" t="s">
        <v>109</v>
      </c>
      <c r="I6" s="24" t="s">
        <v>110</v>
      </c>
      <c r="J6" s="24" t="s">
        <v>111</v>
      </c>
      <c r="K6" s="24" t="s">
        <v>112</v>
      </c>
    </row>
    <row r="7" spans="1:19" ht="28.8" x14ac:dyDescent="0.3">
      <c r="A7" s="23">
        <v>5.2</v>
      </c>
      <c r="B7" s="23" t="s">
        <v>113</v>
      </c>
      <c r="C7" s="23" t="s">
        <v>114</v>
      </c>
      <c r="D7" s="23">
        <v>4300000</v>
      </c>
      <c r="E7" s="23">
        <v>30</v>
      </c>
      <c r="F7" s="23" t="s">
        <v>115</v>
      </c>
      <c r="G7" s="23" t="s">
        <v>116</v>
      </c>
      <c r="H7" s="24" t="s">
        <v>117</v>
      </c>
      <c r="I7" s="24" t="s">
        <v>110</v>
      </c>
      <c r="J7" s="24" t="s">
        <v>118</v>
      </c>
      <c r="K7" s="24" t="s">
        <v>112</v>
      </c>
    </row>
    <row r="8" spans="1:19" ht="43.2" x14ac:dyDescent="0.3">
      <c r="A8" s="23">
        <v>6</v>
      </c>
      <c r="B8" s="23">
        <v>1</v>
      </c>
      <c r="C8" s="23">
        <v>5600000</v>
      </c>
      <c r="D8" s="23">
        <f>C8*B8</f>
        <v>5600000</v>
      </c>
      <c r="E8" s="23" t="s">
        <v>119</v>
      </c>
      <c r="F8" s="23" t="s">
        <v>119</v>
      </c>
      <c r="G8" s="23" t="s">
        <v>119</v>
      </c>
      <c r="H8" s="24" t="s">
        <v>120</v>
      </c>
      <c r="I8" s="24" t="s">
        <v>121</v>
      </c>
      <c r="J8" s="24" t="s">
        <v>122</v>
      </c>
      <c r="K8" s="24" t="s">
        <v>123</v>
      </c>
    </row>
    <row r="9" spans="1:19" ht="72" x14ac:dyDescent="0.3">
      <c r="A9" s="23">
        <v>7</v>
      </c>
      <c r="B9" s="23" t="s">
        <v>119</v>
      </c>
      <c r="C9" s="23" t="s">
        <v>119</v>
      </c>
      <c r="D9" s="23">
        <v>6100000</v>
      </c>
      <c r="E9" s="23" t="s">
        <v>119</v>
      </c>
      <c r="F9" s="23" t="s">
        <v>119</v>
      </c>
      <c r="G9" s="23" t="s">
        <v>119</v>
      </c>
      <c r="H9" s="24" t="s">
        <v>124</v>
      </c>
      <c r="I9" s="24" t="s">
        <v>125</v>
      </c>
      <c r="J9" s="24" t="s">
        <v>126</v>
      </c>
      <c r="K9" s="24" t="s">
        <v>127</v>
      </c>
      <c r="M9" s="22" t="s">
        <v>95</v>
      </c>
      <c r="N9" s="24" t="s">
        <v>128</v>
      </c>
    </row>
    <row r="10" spans="1:19" ht="72" x14ac:dyDescent="0.3">
      <c r="A10" s="23">
        <v>8</v>
      </c>
      <c r="B10" s="23">
        <v>130000</v>
      </c>
      <c r="C10" s="23">
        <f>7200000/130000</f>
        <v>55.384615384615387</v>
      </c>
      <c r="D10" s="23">
        <f>C10*B10</f>
        <v>7200000</v>
      </c>
      <c r="E10" s="23" t="s">
        <v>119</v>
      </c>
      <c r="F10" s="23" t="s">
        <v>119</v>
      </c>
      <c r="G10" s="23" t="s">
        <v>119</v>
      </c>
      <c r="H10" s="24" t="s">
        <v>129</v>
      </c>
      <c r="I10" s="24" t="s">
        <v>130</v>
      </c>
      <c r="J10" s="24" t="s">
        <v>131</v>
      </c>
      <c r="K10" s="24" t="s">
        <v>132</v>
      </c>
      <c r="M10" s="22" t="s">
        <v>95</v>
      </c>
      <c r="N10" s="24" t="s">
        <v>133</v>
      </c>
    </row>
    <row r="11" spans="1:19" x14ac:dyDescent="0.3">
      <c r="B11" s="26"/>
      <c r="L11" s="22" t="s">
        <v>134</v>
      </c>
      <c r="M11" s="22">
        <f>SUMIF(M2:M10,"yes",D2:D10)</f>
        <v>15700000</v>
      </c>
    </row>
    <row r="12" spans="1:19" x14ac:dyDescent="0.3">
      <c r="L12" s="22" t="s">
        <v>135</v>
      </c>
      <c r="M12" s="22">
        <f>S1-M11</f>
        <v>800000</v>
      </c>
    </row>
    <row r="14" spans="1:19" x14ac:dyDescent="0.3">
      <c r="N14" s="27" t="s">
        <v>136</v>
      </c>
    </row>
    <row r="15" spans="1:19" ht="28.8" x14ac:dyDescent="0.3">
      <c r="N15" s="27" t="s">
        <v>137</v>
      </c>
    </row>
    <row r="16" spans="1:19" ht="28.8" x14ac:dyDescent="0.3">
      <c r="N16" s="27" t="s">
        <v>138</v>
      </c>
    </row>
  </sheetData>
  <conditionalFormatting sqref="D2:D10">
    <cfRule type="cellIs" dxfId="2" priority="3" stopIfTrue="1" operator="lessThanOrEqual">
      <formula>$M$12</formula>
    </cfRule>
  </conditionalFormatting>
  <conditionalFormatting sqref="M11">
    <cfRule type="cellIs" dxfId="1" priority="1" stopIfTrue="1" operator="lessThanOrEqual">
      <formula>16500000</formula>
    </cfRule>
  </conditionalFormatting>
  <conditionalFormatting sqref="M11">
    <cfRule type="cellIs" dxfId="0" priority="2" stopIfTrue="1" operator="greaterThan">
      <formula>16500000</formula>
    </cfRule>
  </conditionalFormatting>
  <pageMargins left="0" right="0" top="0.39370000000000011" bottom="0.39370000000000011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2"/>
  <sheetViews>
    <sheetView zoomScale="115" zoomScaleNormal="115" workbookViewId="0">
      <selection activeCell="G2" sqref="G2"/>
    </sheetView>
  </sheetViews>
  <sheetFormatPr defaultRowHeight="14.4" x14ac:dyDescent="0.3"/>
  <cols>
    <col min="1" max="1" width="25.5546875" bestFit="1" customWidth="1"/>
    <col min="2" max="2" width="6.6640625" bestFit="1" customWidth="1"/>
    <col min="3" max="3" width="8.33203125" bestFit="1" customWidth="1"/>
    <col min="4" max="4" width="19.109375" bestFit="1" customWidth="1"/>
    <col min="5" max="5" width="8.6640625" bestFit="1" customWidth="1"/>
    <col min="6" max="6" width="7.6640625" bestFit="1" customWidth="1"/>
    <col min="7" max="7" width="12" bestFit="1" customWidth="1"/>
    <col min="8" max="8" width="8.109375" bestFit="1" customWidth="1"/>
    <col min="9" max="9" width="17.6640625" bestFit="1" customWidth="1"/>
    <col min="12" max="12" width="40" bestFit="1" customWidth="1"/>
  </cols>
  <sheetData>
    <row r="1" spans="1:12" ht="72" x14ac:dyDescent="0.3">
      <c r="B1" s="28" t="s">
        <v>139</v>
      </c>
      <c r="C1" s="29" t="s">
        <v>140</v>
      </c>
      <c r="D1" s="29" t="s">
        <v>141</v>
      </c>
      <c r="E1" s="29" t="s">
        <v>142</v>
      </c>
      <c r="F1" s="29" t="s">
        <v>143</v>
      </c>
      <c r="G1" s="29" t="s">
        <v>144</v>
      </c>
      <c r="H1" s="29" t="s">
        <v>145</v>
      </c>
      <c r="L1" s="14" t="s">
        <v>165</v>
      </c>
    </row>
    <row r="2" spans="1:12" x14ac:dyDescent="0.3">
      <c r="A2" t="s">
        <v>146</v>
      </c>
      <c r="B2" s="30">
        <f>800*18</f>
        <v>14400</v>
      </c>
      <c r="C2" s="30">
        <v>18</v>
      </c>
      <c r="D2">
        <f>B2/C2</f>
        <v>800</v>
      </c>
      <c r="E2">
        <v>0</v>
      </c>
      <c r="F2">
        <v>7</v>
      </c>
      <c r="G2">
        <f>F2/C2</f>
        <v>0.3888888888888889</v>
      </c>
      <c r="H2">
        <f t="shared" ref="H2:H9" si="0">16500-B2</f>
        <v>2100</v>
      </c>
    </row>
    <row r="3" spans="1:12" x14ac:dyDescent="0.3">
      <c r="A3" t="s">
        <v>147</v>
      </c>
      <c r="B3" s="30">
        <v>2400</v>
      </c>
      <c r="C3" s="30">
        <v>1</v>
      </c>
      <c r="D3">
        <f t="shared" ref="D3:D9" si="1">B3/C3</f>
        <v>2400</v>
      </c>
      <c r="E3">
        <v>0</v>
      </c>
      <c r="F3">
        <v>7</v>
      </c>
      <c r="G3">
        <f t="shared" ref="G3:G9" si="2">F3/C3</f>
        <v>7</v>
      </c>
      <c r="H3">
        <f t="shared" si="0"/>
        <v>14100</v>
      </c>
    </row>
    <row r="4" spans="1:12" x14ac:dyDescent="0.3">
      <c r="A4" t="s">
        <v>148</v>
      </c>
      <c r="B4" s="30">
        <v>5200</v>
      </c>
      <c r="C4" s="30">
        <v>1</v>
      </c>
      <c r="D4">
        <f t="shared" si="1"/>
        <v>5200</v>
      </c>
      <c r="E4">
        <v>1</v>
      </c>
      <c r="F4">
        <v>10</v>
      </c>
      <c r="G4">
        <f t="shared" si="2"/>
        <v>10</v>
      </c>
      <c r="H4">
        <f t="shared" si="0"/>
        <v>11300</v>
      </c>
    </row>
    <row r="5" spans="1:12" x14ac:dyDescent="0.3">
      <c r="A5" t="s">
        <v>149</v>
      </c>
      <c r="B5" s="30">
        <v>6500</v>
      </c>
      <c r="C5" s="30">
        <v>1</v>
      </c>
      <c r="D5">
        <f t="shared" si="1"/>
        <v>6500</v>
      </c>
      <c r="E5">
        <v>1</v>
      </c>
      <c r="F5">
        <v>10</v>
      </c>
      <c r="G5">
        <f t="shared" si="2"/>
        <v>10</v>
      </c>
      <c r="H5">
        <f t="shared" si="0"/>
        <v>10000</v>
      </c>
    </row>
    <row r="6" spans="1:12" x14ac:dyDescent="0.3">
      <c r="A6" t="s">
        <v>150</v>
      </c>
      <c r="B6" s="30">
        <v>4300</v>
      </c>
      <c r="C6">
        <v>3333</v>
      </c>
      <c r="D6">
        <f t="shared" si="1"/>
        <v>1.2901290129012901</v>
      </c>
      <c r="E6">
        <v>0</v>
      </c>
      <c r="F6">
        <v>5</v>
      </c>
      <c r="G6">
        <f t="shared" si="2"/>
        <v>1.5001500150015E-3</v>
      </c>
      <c r="H6">
        <f t="shared" si="0"/>
        <v>12200</v>
      </c>
    </row>
    <row r="7" spans="1:12" x14ac:dyDescent="0.3">
      <c r="A7" t="s">
        <v>151</v>
      </c>
      <c r="B7" s="30">
        <v>5600</v>
      </c>
      <c r="C7">
        <v>11111</v>
      </c>
      <c r="D7">
        <f t="shared" si="1"/>
        <v>0.50400504005040048</v>
      </c>
      <c r="E7">
        <v>0</v>
      </c>
      <c r="F7">
        <v>4</v>
      </c>
      <c r="G7">
        <f t="shared" si="2"/>
        <v>3.6000360003600034E-4</v>
      </c>
      <c r="H7">
        <f t="shared" si="0"/>
        <v>10900</v>
      </c>
    </row>
    <row r="8" spans="1:12" x14ac:dyDescent="0.3">
      <c r="A8" t="s">
        <v>152</v>
      </c>
      <c r="B8" s="30">
        <v>6100</v>
      </c>
      <c r="C8">
        <v>22222</v>
      </c>
      <c r="D8">
        <f t="shared" si="1"/>
        <v>0.27450274502745026</v>
      </c>
      <c r="E8">
        <v>0</v>
      </c>
      <c r="F8">
        <v>7</v>
      </c>
      <c r="G8">
        <f t="shared" si="2"/>
        <v>3.150031500315003E-4</v>
      </c>
      <c r="H8">
        <f t="shared" si="0"/>
        <v>10400</v>
      </c>
    </row>
    <row r="9" spans="1:12" x14ac:dyDescent="0.3">
      <c r="A9" t="s">
        <v>153</v>
      </c>
      <c r="B9" s="30">
        <v>7200</v>
      </c>
      <c r="C9" s="30">
        <v>130000</v>
      </c>
      <c r="D9">
        <f t="shared" si="1"/>
        <v>5.5384615384615386E-2</v>
      </c>
      <c r="E9">
        <v>0</v>
      </c>
      <c r="F9">
        <v>6</v>
      </c>
      <c r="G9">
        <f t="shared" si="2"/>
        <v>4.6153846153846151E-5</v>
      </c>
      <c r="H9">
        <f t="shared" si="0"/>
        <v>9300</v>
      </c>
    </row>
    <row r="10" spans="1:12" x14ac:dyDescent="0.3">
      <c r="A10" t="s">
        <v>342</v>
      </c>
      <c r="D10">
        <v>1</v>
      </c>
      <c r="F10">
        <v>9</v>
      </c>
      <c r="G10">
        <v>10</v>
      </c>
      <c r="H10">
        <v>11</v>
      </c>
    </row>
    <row r="11" spans="1:12" x14ac:dyDescent="0.3">
      <c r="A11" t="s">
        <v>154</v>
      </c>
      <c r="D11" t="str">
        <f>A5</f>
        <v>4. Kislány rák kezelése</v>
      </c>
    </row>
    <row r="12" spans="1:12" x14ac:dyDescent="0.3">
      <c r="A12" t="s">
        <v>155</v>
      </c>
      <c r="D12" t="str">
        <f>A9</f>
        <v>8. TBC szűrés</v>
      </c>
    </row>
    <row r="14" spans="1:12" ht="15" thickBot="1" x14ac:dyDescent="0.35">
      <c r="A14" s="31" t="s">
        <v>156</v>
      </c>
    </row>
    <row r="15" spans="1:12" ht="43.8" thickBot="1" x14ac:dyDescent="0.35">
      <c r="A15" s="32" t="s">
        <v>157</v>
      </c>
      <c r="C15" s="33">
        <v>3</v>
      </c>
      <c r="D15" s="33">
        <v>4</v>
      </c>
      <c r="E15" s="33">
        <v>2</v>
      </c>
      <c r="G15" t="s">
        <v>158</v>
      </c>
      <c r="I15" t="s">
        <v>159</v>
      </c>
      <c r="L15" s="29" t="s">
        <v>160</v>
      </c>
    </row>
    <row r="16" spans="1:12" ht="29.4" thickBot="1" x14ac:dyDescent="0.35">
      <c r="A16" s="34" t="s">
        <v>161</v>
      </c>
      <c r="B16" s="34"/>
      <c r="C16" s="34">
        <f>D4</f>
        <v>5200</v>
      </c>
      <c r="D16" s="34">
        <f>D5</f>
        <v>6500</v>
      </c>
      <c r="E16" s="34">
        <f>B3</f>
        <v>2400</v>
      </c>
      <c r="F16" s="34"/>
      <c r="G16" s="34">
        <f>D16+E16+C16</f>
        <v>14100</v>
      </c>
      <c r="I16" s="35">
        <f>16500-G16</f>
        <v>2400</v>
      </c>
      <c r="L16" s="29" t="s">
        <v>162</v>
      </c>
    </row>
    <row r="18" spans="1:12" x14ac:dyDescent="0.3">
      <c r="A18" s="36" t="s">
        <v>163</v>
      </c>
      <c r="C18" s="37">
        <v>4</v>
      </c>
      <c r="D18" s="37">
        <v>5</v>
      </c>
      <c r="E18" s="37">
        <v>6</v>
      </c>
    </row>
    <row r="19" spans="1:12" x14ac:dyDescent="0.3">
      <c r="A19" s="34" t="s">
        <v>161</v>
      </c>
      <c r="B19" s="34"/>
      <c r="C19" s="34">
        <f>B5</f>
        <v>6500</v>
      </c>
      <c r="D19" s="34">
        <f>B6</f>
        <v>4300</v>
      </c>
      <c r="E19" s="34">
        <f>B7</f>
        <v>5600</v>
      </c>
      <c r="F19" s="34"/>
      <c r="G19" s="34">
        <f>E19+D19+C19</f>
        <v>16400</v>
      </c>
      <c r="I19" s="38">
        <f>16500-G19</f>
        <v>100</v>
      </c>
    </row>
    <row r="21" spans="1:12" ht="28.8" x14ac:dyDescent="0.3">
      <c r="A21" s="39" t="s">
        <v>164</v>
      </c>
      <c r="C21" s="40">
        <v>8</v>
      </c>
      <c r="D21" s="33">
        <v>7</v>
      </c>
      <c r="E21" s="33">
        <v>2</v>
      </c>
      <c r="L21" s="3" t="s">
        <v>166</v>
      </c>
    </row>
    <row r="22" spans="1:12" x14ac:dyDescent="0.3">
      <c r="A22" s="34" t="s">
        <v>161</v>
      </c>
      <c r="B22" s="34"/>
      <c r="C22" s="34">
        <f>B9</f>
        <v>7200</v>
      </c>
      <c r="D22" s="34">
        <f>B8</f>
        <v>6100</v>
      </c>
      <c r="E22" s="34">
        <f>B3</f>
        <v>2400</v>
      </c>
      <c r="F22" s="34"/>
      <c r="G22" s="34">
        <f>E22+D22+C22</f>
        <v>15700</v>
      </c>
      <c r="I22" s="38">
        <f>16500-G22</f>
        <v>800</v>
      </c>
    </row>
  </sheetData>
  <conditionalFormatting sqref="H2:H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U15"/>
  <sheetViews>
    <sheetView zoomScale="80" zoomScaleNormal="80" workbookViewId="0"/>
  </sheetViews>
  <sheetFormatPr defaultColWidth="8.88671875" defaultRowHeight="14.4" x14ac:dyDescent="0.3"/>
  <cols>
    <col min="1" max="2" width="8.88671875" style="41"/>
    <col min="3" max="3" width="16.5546875" style="41" bestFit="1" customWidth="1"/>
    <col min="4" max="6" width="11.6640625" style="41" bestFit="1" customWidth="1"/>
    <col min="7" max="7" width="12.6640625" style="41" customWidth="1"/>
    <col min="8" max="10" width="11.6640625" style="41" bestFit="1" customWidth="1"/>
    <col min="11" max="11" width="9.5546875" style="41" bestFit="1" customWidth="1"/>
    <col min="12" max="12" width="10.88671875" style="41" bestFit="1" customWidth="1"/>
    <col min="13" max="16384" width="8.88671875" style="41"/>
  </cols>
  <sheetData>
    <row r="1" spans="3:21" x14ac:dyDescent="0.3">
      <c r="D1" s="42" t="s">
        <v>167</v>
      </c>
      <c r="E1" s="43"/>
      <c r="F1" s="43"/>
      <c r="G1" s="43"/>
      <c r="H1" s="43"/>
      <c r="I1" s="43"/>
      <c r="J1" s="43"/>
      <c r="K1" s="44"/>
      <c r="O1" s="42" t="s">
        <v>168</v>
      </c>
      <c r="P1" s="43"/>
      <c r="Q1" s="43"/>
      <c r="R1" s="43"/>
      <c r="S1" s="43"/>
      <c r="T1" s="43"/>
      <c r="U1" s="44"/>
    </row>
    <row r="2" spans="3:21" x14ac:dyDescent="0.3">
      <c r="C2" s="45" t="s">
        <v>169</v>
      </c>
      <c r="D2" s="46" t="s">
        <v>170</v>
      </c>
      <c r="E2" s="47" t="s">
        <v>171</v>
      </c>
      <c r="F2" s="47" t="s">
        <v>172</v>
      </c>
      <c r="G2" s="47" t="s">
        <v>173</v>
      </c>
      <c r="H2" s="47" t="s">
        <v>174</v>
      </c>
      <c r="I2" s="47" t="s">
        <v>175</v>
      </c>
      <c r="J2" s="47" t="s">
        <v>176</v>
      </c>
      <c r="K2" s="48" t="s">
        <v>177</v>
      </c>
      <c r="O2" s="46" t="s">
        <v>178</v>
      </c>
      <c r="P2" s="47"/>
      <c r="Q2" s="47"/>
      <c r="R2" s="47" t="s">
        <v>179</v>
      </c>
      <c r="U2" s="49"/>
    </row>
    <row r="3" spans="3:21" x14ac:dyDescent="0.3">
      <c r="C3" s="50">
        <v>1</v>
      </c>
      <c r="D3" s="51">
        <v>2</v>
      </c>
      <c r="E3" s="41">
        <v>1</v>
      </c>
      <c r="F3" s="41">
        <v>2</v>
      </c>
      <c r="G3" s="41">
        <v>0</v>
      </c>
      <c r="H3" s="41">
        <v>1</v>
      </c>
      <c r="I3" s="41">
        <v>3</v>
      </c>
      <c r="J3" s="41">
        <v>0</v>
      </c>
      <c r="K3" s="52">
        <f>SUM(D3:J3)</f>
        <v>9</v>
      </c>
      <c r="L3" s="41" t="s">
        <v>180</v>
      </c>
      <c r="O3" s="51" t="s">
        <v>181</v>
      </c>
      <c r="R3" s="41" t="s">
        <v>182</v>
      </c>
      <c r="U3" s="49"/>
    </row>
    <row r="4" spans="3:21" x14ac:dyDescent="0.3">
      <c r="C4" s="53">
        <v>2</v>
      </c>
      <c r="D4" s="51">
        <v>2</v>
      </c>
      <c r="E4" s="41">
        <v>1</v>
      </c>
      <c r="F4" s="41">
        <v>1</v>
      </c>
      <c r="G4" s="41">
        <v>0</v>
      </c>
      <c r="H4" s="41">
        <v>2</v>
      </c>
      <c r="I4" s="41">
        <v>3</v>
      </c>
      <c r="J4" s="41">
        <v>0</v>
      </c>
      <c r="K4" s="52">
        <f t="shared" ref="K4:K10" si="0">SUM(D4:J4)</f>
        <v>9</v>
      </c>
      <c r="O4" s="51">
        <v>1</v>
      </c>
      <c r="P4" s="54">
        <f>SUM(K4:O4)</f>
        <v>10</v>
      </c>
      <c r="U4" s="49"/>
    </row>
    <row r="5" spans="3:21" x14ac:dyDescent="0.3">
      <c r="C5" s="50">
        <v>3</v>
      </c>
      <c r="D5" s="51">
        <v>2</v>
      </c>
      <c r="E5" s="41">
        <v>0</v>
      </c>
      <c r="F5" s="41">
        <v>1</v>
      </c>
      <c r="G5" s="41">
        <v>0</v>
      </c>
      <c r="H5" s="41">
        <v>2</v>
      </c>
      <c r="I5" s="41">
        <v>2</v>
      </c>
      <c r="J5" s="41">
        <v>2</v>
      </c>
      <c r="K5" s="52">
        <f t="shared" si="0"/>
        <v>9</v>
      </c>
      <c r="O5" s="51">
        <v>0</v>
      </c>
      <c r="P5" s="55">
        <f>SUM(K5:O5)</f>
        <v>9</v>
      </c>
      <c r="R5" s="41">
        <v>0</v>
      </c>
      <c r="S5" s="41">
        <f>SUM(P5:R5)</f>
        <v>9</v>
      </c>
      <c r="U5" s="49"/>
    </row>
    <row r="6" spans="3:21" x14ac:dyDescent="0.3">
      <c r="C6" s="53">
        <v>4</v>
      </c>
      <c r="D6" s="51">
        <v>2</v>
      </c>
      <c r="E6" s="41">
        <v>1</v>
      </c>
      <c r="F6" s="41">
        <v>1</v>
      </c>
      <c r="G6" s="41">
        <v>0</v>
      </c>
      <c r="H6" s="41">
        <v>1</v>
      </c>
      <c r="I6" s="41">
        <v>2</v>
      </c>
      <c r="J6" s="41">
        <v>2</v>
      </c>
      <c r="K6" s="52">
        <f t="shared" si="0"/>
        <v>9</v>
      </c>
      <c r="O6" s="51">
        <v>1</v>
      </c>
      <c r="P6" s="54">
        <f>SUM(K6:O6)</f>
        <v>10</v>
      </c>
      <c r="U6" s="49"/>
    </row>
    <row r="7" spans="3:21" x14ac:dyDescent="0.3">
      <c r="C7" s="50">
        <v>5</v>
      </c>
      <c r="D7" s="51">
        <v>0</v>
      </c>
      <c r="E7" s="41">
        <v>1</v>
      </c>
      <c r="F7" s="41">
        <v>0</v>
      </c>
      <c r="G7" s="41">
        <v>2</v>
      </c>
      <c r="H7" s="41">
        <v>1</v>
      </c>
      <c r="I7" s="41">
        <v>0</v>
      </c>
      <c r="J7" s="41">
        <v>0</v>
      </c>
      <c r="K7" s="49">
        <f t="shared" si="0"/>
        <v>4</v>
      </c>
      <c r="O7" s="51"/>
      <c r="U7" s="49"/>
    </row>
    <row r="8" spans="3:21" x14ac:dyDescent="0.3">
      <c r="C8" s="50">
        <v>6</v>
      </c>
      <c r="D8" s="51">
        <v>0</v>
      </c>
      <c r="E8" s="41">
        <v>0</v>
      </c>
      <c r="F8" s="41">
        <v>0</v>
      </c>
      <c r="G8" s="41">
        <v>2</v>
      </c>
      <c r="H8" s="41">
        <v>2</v>
      </c>
      <c r="I8" s="41">
        <v>0</v>
      </c>
      <c r="J8" s="41">
        <v>0</v>
      </c>
      <c r="K8" s="49">
        <f t="shared" si="0"/>
        <v>4</v>
      </c>
      <c r="O8" s="51"/>
      <c r="U8" s="49"/>
    </row>
    <row r="9" spans="3:21" x14ac:dyDescent="0.3">
      <c r="C9" s="53">
        <v>7</v>
      </c>
      <c r="D9" s="51">
        <v>0</v>
      </c>
      <c r="E9" s="41">
        <v>1</v>
      </c>
      <c r="F9" s="41">
        <v>2</v>
      </c>
      <c r="G9" s="41">
        <v>2</v>
      </c>
      <c r="H9" s="41">
        <v>2</v>
      </c>
      <c r="I9" s="41">
        <v>2</v>
      </c>
      <c r="J9" s="41">
        <v>0</v>
      </c>
      <c r="K9" s="52">
        <f t="shared" si="0"/>
        <v>9</v>
      </c>
      <c r="O9" s="51">
        <v>0</v>
      </c>
      <c r="P9" s="55">
        <f>SUM(K9:O9)</f>
        <v>9</v>
      </c>
      <c r="R9" s="41">
        <v>1</v>
      </c>
      <c r="S9" s="54">
        <f>SUM(P9:R9)</f>
        <v>10</v>
      </c>
      <c r="U9" s="49"/>
    </row>
    <row r="10" spans="3:21" x14ac:dyDescent="0.3">
      <c r="C10" s="50">
        <v>8</v>
      </c>
      <c r="D10" s="56">
        <v>0</v>
      </c>
      <c r="E10" s="57">
        <v>1</v>
      </c>
      <c r="F10" s="57">
        <v>2</v>
      </c>
      <c r="G10" s="57">
        <v>2</v>
      </c>
      <c r="H10" s="57">
        <v>1</v>
      </c>
      <c r="I10" s="57">
        <v>0</v>
      </c>
      <c r="J10" s="57">
        <v>0</v>
      </c>
      <c r="K10" s="58">
        <f t="shared" si="0"/>
        <v>6</v>
      </c>
      <c r="O10" s="56"/>
      <c r="P10" s="57"/>
      <c r="Q10" s="57"/>
      <c r="R10" s="57"/>
      <c r="S10" s="57"/>
      <c r="T10" s="57"/>
      <c r="U10" s="58"/>
    </row>
    <row r="11" spans="3:21" x14ac:dyDescent="0.3">
      <c r="H11" s="59" t="s">
        <v>183</v>
      </c>
    </row>
    <row r="12" spans="3:21" x14ac:dyDescent="0.3">
      <c r="H12" s="59">
        <f>(18*0.8+2.4+5.2+6.5+4.3+5.6+6.1+7.2)/8</f>
        <v>6.4625000000000004</v>
      </c>
      <c r="I12" s="59" t="s">
        <v>184</v>
      </c>
    </row>
    <row r="13" spans="3:21" x14ac:dyDescent="0.3">
      <c r="G13" s="136" t="s">
        <v>185</v>
      </c>
      <c r="H13" s="136"/>
      <c r="I13" s="136"/>
    </row>
    <row r="14" spans="3:21" x14ac:dyDescent="0.3">
      <c r="N14" s="137" t="s">
        <v>186</v>
      </c>
      <c r="O14" s="137"/>
      <c r="P14" s="137"/>
    </row>
    <row r="15" spans="3:21" x14ac:dyDescent="0.3">
      <c r="N15" s="41">
        <f>2.4+6.5+6.1</f>
        <v>15</v>
      </c>
      <c r="O15" s="41" t="s">
        <v>184</v>
      </c>
    </row>
  </sheetData>
  <mergeCells count="2">
    <mergeCell ref="G13:I13"/>
    <mergeCell ref="N14:P1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2"/>
  <sheetViews>
    <sheetView zoomScale="85" zoomScaleNormal="85" workbookViewId="0"/>
  </sheetViews>
  <sheetFormatPr defaultColWidth="8.88671875" defaultRowHeight="14.4" x14ac:dyDescent="0.3"/>
  <cols>
    <col min="1" max="1" width="24.33203125" style="41" bestFit="1" customWidth="1"/>
    <col min="2" max="2" width="7" style="41" bestFit="1" customWidth="1"/>
    <col min="3" max="3" width="8.33203125" style="41" bestFit="1" customWidth="1"/>
    <col min="4" max="4" width="12.44140625" style="41" bestFit="1" customWidth="1"/>
    <col min="5" max="5" width="8.88671875" style="41"/>
    <col min="6" max="6" width="8.33203125" style="41" bestFit="1" customWidth="1"/>
    <col min="7" max="7" width="8.44140625" style="41" bestFit="1" customWidth="1"/>
    <col min="8" max="8" width="8.88671875" style="41" bestFit="1" customWidth="1"/>
    <col min="9" max="9" width="5.33203125" style="41" bestFit="1" customWidth="1"/>
    <col min="10" max="11" width="8.88671875" style="41"/>
    <col min="12" max="12" width="24.33203125" style="41" bestFit="1" customWidth="1"/>
    <col min="13" max="13" width="7" style="41" bestFit="1" customWidth="1"/>
    <col min="14" max="14" width="8.33203125" style="41" bestFit="1" customWidth="1"/>
    <col min="15" max="15" width="7.6640625" style="41" bestFit="1" customWidth="1"/>
    <col min="16" max="16" width="8.88671875" style="41"/>
    <col min="17" max="17" width="8.33203125" style="41" bestFit="1" customWidth="1"/>
    <col min="18" max="18" width="8.44140625" style="41" bestFit="1" customWidth="1"/>
    <col min="19" max="19" width="8.88671875" style="41"/>
    <col min="20" max="20" width="5.33203125" style="41" bestFit="1" customWidth="1"/>
    <col min="21" max="21" width="8.88671875" style="41"/>
    <col min="22" max="22" width="5" style="41" bestFit="1" customWidth="1"/>
    <col min="23" max="23" width="13" style="41" bestFit="1" customWidth="1"/>
    <col min="24" max="16384" width="8.88671875" style="41"/>
  </cols>
  <sheetData>
    <row r="1" spans="1:23" ht="57.6" x14ac:dyDescent="0.3">
      <c r="B1" s="60" t="s">
        <v>139</v>
      </c>
      <c r="C1" s="61" t="s">
        <v>140</v>
      </c>
      <c r="D1" s="61" t="s">
        <v>141</v>
      </c>
      <c r="E1" s="61" t="s">
        <v>142</v>
      </c>
      <c r="F1" s="61" t="s">
        <v>145</v>
      </c>
      <c r="G1" s="61" t="s">
        <v>187</v>
      </c>
      <c r="H1" s="61" t="s">
        <v>188</v>
      </c>
      <c r="I1" s="61" t="s">
        <v>189</v>
      </c>
      <c r="K1" s="61"/>
      <c r="M1" s="60" t="s">
        <v>139</v>
      </c>
      <c r="N1" s="61" t="s">
        <v>140</v>
      </c>
      <c r="O1" s="61" t="s">
        <v>141</v>
      </c>
      <c r="P1" s="61" t="s">
        <v>142</v>
      </c>
      <c r="Q1" s="61" t="s">
        <v>145</v>
      </c>
      <c r="R1" s="61" t="s">
        <v>187</v>
      </c>
      <c r="S1" s="61" t="s">
        <v>188</v>
      </c>
      <c r="T1" s="61" t="s">
        <v>189</v>
      </c>
      <c r="V1" s="61" t="s">
        <v>190</v>
      </c>
    </row>
    <row r="2" spans="1:23" x14ac:dyDescent="0.3">
      <c r="A2" s="41" t="s">
        <v>191</v>
      </c>
      <c r="B2" s="62">
        <f>800*18</f>
        <v>14400</v>
      </c>
      <c r="C2" s="62">
        <v>18</v>
      </c>
      <c r="D2" s="41">
        <f>B2/C2</f>
        <v>800</v>
      </c>
      <c r="E2" s="41">
        <v>0</v>
      </c>
      <c r="F2" s="62">
        <f>$B$12-B2</f>
        <v>2100</v>
      </c>
      <c r="G2" s="41">
        <v>0</v>
      </c>
      <c r="H2" s="41">
        <v>1</v>
      </c>
      <c r="I2" s="41">
        <v>1</v>
      </c>
      <c r="L2" s="41" t="s">
        <v>191</v>
      </c>
      <c r="M2" s="62">
        <v>8</v>
      </c>
      <c r="N2" s="62">
        <v>4</v>
      </c>
      <c r="O2" s="41">
        <v>4</v>
      </c>
      <c r="P2" s="41">
        <v>0</v>
      </c>
      <c r="Q2" s="62">
        <v>1</v>
      </c>
      <c r="R2" s="62">
        <v>0</v>
      </c>
      <c r="S2" s="62">
        <v>8</v>
      </c>
      <c r="T2" s="41">
        <v>8</v>
      </c>
      <c r="V2" s="41">
        <f>SUM(M2:T2)</f>
        <v>33</v>
      </c>
    </row>
    <row r="3" spans="1:23" x14ac:dyDescent="0.3">
      <c r="A3" s="41" t="s">
        <v>147</v>
      </c>
      <c r="B3" s="62">
        <v>2400</v>
      </c>
      <c r="C3" s="62">
        <v>1</v>
      </c>
      <c r="D3" s="41">
        <f t="shared" ref="D3:D9" si="0">B3/C3</f>
        <v>2400</v>
      </c>
      <c r="E3" s="41">
        <v>0</v>
      </c>
      <c r="F3" s="62">
        <f t="shared" ref="F3:F9" si="1">$B$12-B3</f>
        <v>14100</v>
      </c>
      <c r="G3" s="62">
        <v>0</v>
      </c>
      <c r="H3" s="62">
        <v>1</v>
      </c>
      <c r="I3" s="62">
        <v>0</v>
      </c>
      <c r="L3" s="41" t="s">
        <v>147</v>
      </c>
      <c r="M3" s="62">
        <v>1</v>
      </c>
      <c r="N3" s="62">
        <v>3</v>
      </c>
      <c r="O3" s="41">
        <v>5</v>
      </c>
      <c r="P3" s="41">
        <v>0</v>
      </c>
      <c r="Q3" s="62">
        <v>8</v>
      </c>
      <c r="R3" s="62">
        <v>0</v>
      </c>
      <c r="S3" s="62">
        <v>8</v>
      </c>
      <c r="T3" s="62">
        <v>0</v>
      </c>
      <c r="V3" s="41">
        <f t="shared" ref="V3:V9" si="2">SUM(M3:T3)</f>
        <v>25</v>
      </c>
    </row>
    <row r="4" spans="1:23" x14ac:dyDescent="0.3">
      <c r="A4" s="41" t="s">
        <v>148</v>
      </c>
      <c r="B4" s="62">
        <v>5200</v>
      </c>
      <c r="C4" s="62">
        <v>1</v>
      </c>
      <c r="D4" s="41">
        <f t="shared" si="0"/>
        <v>5200</v>
      </c>
      <c r="E4" s="41">
        <v>1</v>
      </c>
      <c r="F4" s="62">
        <f t="shared" si="1"/>
        <v>11300</v>
      </c>
      <c r="G4" s="62">
        <v>1</v>
      </c>
      <c r="H4" s="62">
        <v>1</v>
      </c>
      <c r="I4" s="62">
        <v>1</v>
      </c>
      <c r="L4" s="41" t="s">
        <v>148</v>
      </c>
      <c r="M4" s="62">
        <v>3</v>
      </c>
      <c r="N4" s="62">
        <v>3</v>
      </c>
      <c r="O4" s="41">
        <v>6</v>
      </c>
      <c r="P4" s="41">
        <v>8</v>
      </c>
      <c r="Q4" s="62">
        <v>6</v>
      </c>
      <c r="R4" s="62">
        <v>8</v>
      </c>
      <c r="S4" s="62">
        <v>8</v>
      </c>
      <c r="T4" s="62">
        <v>8</v>
      </c>
      <c r="V4" s="41">
        <f t="shared" si="2"/>
        <v>50</v>
      </c>
      <c r="W4" s="41" t="s">
        <v>192</v>
      </c>
    </row>
    <row r="5" spans="1:23" x14ac:dyDescent="0.3">
      <c r="A5" s="41" t="s">
        <v>149</v>
      </c>
      <c r="B5" s="62">
        <v>6500</v>
      </c>
      <c r="C5" s="62">
        <v>1</v>
      </c>
      <c r="D5" s="41">
        <f t="shared" si="0"/>
        <v>6500</v>
      </c>
      <c r="E5" s="41">
        <v>1</v>
      </c>
      <c r="F5" s="62">
        <f t="shared" si="1"/>
        <v>10000</v>
      </c>
      <c r="G5" s="62">
        <v>1</v>
      </c>
      <c r="H5" s="62">
        <v>1</v>
      </c>
      <c r="I5" s="62">
        <v>0</v>
      </c>
      <c r="L5" s="41" t="s">
        <v>149</v>
      </c>
      <c r="M5" s="62">
        <v>6</v>
      </c>
      <c r="N5" s="62">
        <v>3</v>
      </c>
      <c r="O5" s="41">
        <v>7</v>
      </c>
      <c r="P5" s="41">
        <v>8</v>
      </c>
      <c r="Q5" s="62">
        <v>3</v>
      </c>
      <c r="R5" s="62">
        <v>8</v>
      </c>
      <c r="S5" s="62">
        <v>8</v>
      </c>
      <c r="T5" s="62">
        <v>0</v>
      </c>
      <c r="V5" s="41">
        <f t="shared" si="2"/>
        <v>43</v>
      </c>
    </row>
    <row r="6" spans="1:23" x14ac:dyDescent="0.3">
      <c r="A6" s="41" t="s">
        <v>150</v>
      </c>
      <c r="B6" s="62">
        <v>4300</v>
      </c>
      <c r="C6" s="41">
        <v>3333</v>
      </c>
      <c r="D6" s="41">
        <f>B6/C6</f>
        <v>1.2901290129012901</v>
      </c>
      <c r="E6" s="41">
        <v>0</v>
      </c>
      <c r="F6" s="62">
        <f t="shared" si="1"/>
        <v>12200</v>
      </c>
      <c r="G6" s="62">
        <v>0</v>
      </c>
      <c r="H6" s="62">
        <v>0</v>
      </c>
      <c r="I6" s="62">
        <v>1</v>
      </c>
      <c r="L6" s="41" t="s">
        <v>150</v>
      </c>
      <c r="M6" s="62">
        <v>2</v>
      </c>
      <c r="N6" s="41">
        <v>5</v>
      </c>
      <c r="O6" s="41">
        <v>8</v>
      </c>
      <c r="P6" s="41">
        <v>0</v>
      </c>
      <c r="Q6" s="62">
        <v>7</v>
      </c>
      <c r="R6" s="62">
        <v>0</v>
      </c>
      <c r="S6" s="62">
        <v>0</v>
      </c>
      <c r="T6" s="62">
        <v>8</v>
      </c>
      <c r="V6" s="41">
        <f t="shared" si="2"/>
        <v>30</v>
      </c>
    </row>
    <row r="7" spans="1:23" x14ac:dyDescent="0.3">
      <c r="A7" s="41" t="s">
        <v>151</v>
      </c>
      <c r="B7" s="62">
        <v>5600</v>
      </c>
      <c r="C7" s="41">
        <v>11111</v>
      </c>
      <c r="D7" s="41">
        <f t="shared" si="0"/>
        <v>0.50400504005040048</v>
      </c>
      <c r="E7" s="41">
        <v>0</v>
      </c>
      <c r="F7" s="62">
        <f t="shared" si="1"/>
        <v>10900</v>
      </c>
      <c r="G7" s="62">
        <v>0</v>
      </c>
      <c r="H7" s="62">
        <v>0</v>
      </c>
      <c r="I7" s="62">
        <v>1</v>
      </c>
      <c r="L7" s="41" t="s">
        <v>151</v>
      </c>
      <c r="M7" s="62">
        <v>4</v>
      </c>
      <c r="N7" s="41">
        <v>6</v>
      </c>
      <c r="O7" s="41">
        <v>3</v>
      </c>
      <c r="P7" s="41">
        <v>0</v>
      </c>
      <c r="Q7" s="62">
        <v>5</v>
      </c>
      <c r="R7" s="62">
        <v>0</v>
      </c>
      <c r="S7" s="62">
        <v>0</v>
      </c>
      <c r="T7" s="62">
        <v>8</v>
      </c>
      <c r="V7" s="41">
        <f t="shared" si="2"/>
        <v>26</v>
      </c>
    </row>
    <row r="8" spans="1:23" x14ac:dyDescent="0.3">
      <c r="A8" s="41" t="s">
        <v>152</v>
      </c>
      <c r="B8" s="62">
        <v>6100</v>
      </c>
      <c r="C8" s="41">
        <v>22222</v>
      </c>
      <c r="D8" s="41">
        <f t="shared" si="0"/>
        <v>0.27450274502745026</v>
      </c>
      <c r="E8" s="41">
        <v>0</v>
      </c>
      <c r="F8" s="62">
        <f t="shared" si="1"/>
        <v>10400</v>
      </c>
      <c r="G8" s="62">
        <v>0</v>
      </c>
      <c r="H8" s="62">
        <v>0</v>
      </c>
      <c r="I8" s="62">
        <v>1</v>
      </c>
      <c r="L8" s="41" t="s">
        <v>152</v>
      </c>
      <c r="M8" s="62">
        <v>5</v>
      </c>
      <c r="N8" s="41">
        <v>7</v>
      </c>
      <c r="O8" s="41">
        <v>2</v>
      </c>
      <c r="P8" s="41">
        <v>0</v>
      </c>
      <c r="Q8" s="62">
        <v>4</v>
      </c>
      <c r="R8" s="62">
        <v>0</v>
      </c>
      <c r="S8" s="62">
        <v>0</v>
      </c>
      <c r="T8" s="62">
        <v>8</v>
      </c>
      <c r="V8" s="41">
        <f t="shared" si="2"/>
        <v>26</v>
      </c>
    </row>
    <row r="9" spans="1:23" x14ac:dyDescent="0.3">
      <c r="A9" s="41" t="s">
        <v>153</v>
      </c>
      <c r="B9" s="62">
        <v>7200</v>
      </c>
      <c r="C9" s="62">
        <v>130000</v>
      </c>
      <c r="D9" s="41">
        <f t="shared" si="0"/>
        <v>5.5384615384615386E-2</v>
      </c>
      <c r="E9" s="41">
        <v>0</v>
      </c>
      <c r="F9" s="62">
        <f t="shared" si="1"/>
        <v>9300</v>
      </c>
      <c r="G9" s="62">
        <v>0</v>
      </c>
      <c r="H9" s="62">
        <v>0</v>
      </c>
      <c r="I9" s="62">
        <v>1</v>
      </c>
      <c r="L9" s="41" t="s">
        <v>153</v>
      </c>
      <c r="M9" s="62">
        <v>7</v>
      </c>
      <c r="N9" s="62">
        <v>8</v>
      </c>
      <c r="O9" s="41">
        <v>1</v>
      </c>
      <c r="P9" s="41">
        <v>0</v>
      </c>
      <c r="Q9" s="62">
        <v>2</v>
      </c>
      <c r="R9" s="62">
        <v>0</v>
      </c>
      <c r="S9" s="62">
        <v>0</v>
      </c>
      <c r="T9" s="62">
        <v>8</v>
      </c>
      <c r="V9" s="41">
        <f t="shared" si="2"/>
        <v>26</v>
      </c>
    </row>
    <row r="12" spans="1:23" x14ac:dyDescent="0.3">
      <c r="A12" s="41" t="s">
        <v>193</v>
      </c>
      <c r="B12" s="62">
        <v>16500</v>
      </c>
    </row>
  </sheetData>
  <conditionalFormatting sqref="V2:V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"/>
  <sheetViews>
    <sheetView workbookViewId="0"/>
  </sheetViews>
  <sheetFormatPr defaultColWidth="8.88671875" defaultRowHeight="14.4" x14ac:dyDescent="0.3"/>
  <cols>
    <col min="1" max="1" width="6" style="66" bestFit="1" customWidth="1"/>
    <col min="2" max="2" width="13.33203125" style="66" bestFit="1" customWidth="1"/>
    <col min="3" max="3" width="9" style="66" bestFit="1" customWidth="1"/>
    <col min="4" max="4" width="7" style="66" bestFit="1" customWidth="1"/>
    <col min="5" max="5" width="9" style="66" bestFit="1" customWidth="1"/>
    <col min="6" max="6" width="12" style="66" bestFit="1" customWidth="1"/>
    <col min="7" max="7" width="9" style="66" bestFit="1" customWidth="1"/>
    <col min="8" max="8" width="8.44140625" style="66" bestFit="1" customWidth="1"/>
    <col min="9" max="9" width="9" style="66" bestFit="1" customWidth="1"/>
    <col min="10" max="10" width="8.44140625" style="66" bestFit="1" customWidth="1"/>
    <col min="11" max="11" width="9" style="66" customWidth="1"/>
    <col min="12" max="12" width="4" style="66" bestFit="1" customWidth="1"/>
    <col min="13" max="13" width="9" style="66" bestFit="1" customWidth="1"/>
    <col min="14" max="14" width="19.109375" style="66" bestFit="1" customWidth="1"/>
    <col min="15" max="15" width="9" style="66" bestFit="1" customWidth="1"/>
    <col min="16" max="16" width="18.109375" style="66" bestFit="1" customWidth="1"/>
    <col min="17" max="17" width="9" style="66" bestFit="1" customWidth="1"/>
    <col min="18" max="18" width="19.33203125" style="66" bestFit="1" customWidth="1"/>
    <col min="19" max="19" width="9" style="66" bestFit="1" customWidth="1"/>
    <col min="20" max="20" width="8.44140625" style="66" bestFit="1" customWidth="1"/>
    <col min="21" max="22" width="14.6640625" style="66" bestFit="1" customWidth="1"/>
    <col min="23" max="16384" width="8.88671875" style="66"/>
  </cols>
  <sheetData>
    <row r="1" spans="1:22" x14ac:dyDescent="0.3">
      <c r="A1" s="63" t="s">
        <v>194</v>
      </c>
      <c r="B1" s="64" t="s">
        <v>195</v>
      </c>
      <c r="C1" s="64" t="s">
        <v>196</v>
      </c>
      <c r="D1" s="64" t="s">
        <v>197</v>
      </c>
      <c r="E1" s="64" t="s">
        <v>196</v>
      </c>
      <c r="F1" s="64" t="s">
        <v>198</v>
      </c>
      <c r="G1" s="64" t="s">
        <v>196</v>
      </c>
      <c r="H1" s="64" t="s">
        <v>199</v>
      </c>
      <c r="I1" s="64" t="s">
        <v>196</v>
      </c>
      <c r="J1" s="64" t="s">
        <v>200</v>
      </c>
      <c r="K1" s="64" t="s">
        <v>196</v>
      </c>
      <c r="L1" s="64" t="s">
        <v>201</v>
      </c>
      <c r="M1" s="64" t="s">
        <v>196</v>
      </c>
      <c r="N1" s="64" t="s">
        <v>202</v>
      </c>
      <c r="O1" s="64" t="s">
        <v>196</v>
      </c>
      <c r="P1" s="64" t="s">
        <v>203</v>
      </c>
      <c r="Q1" s="64" t="s">
        <v>196</v>
      </c>
      <c r="R1" s="64" t="s">
        <v>145</v>
      </c>
      <c r="S1" s="65" t="s">
        <v>196</v>
      </c>
      <c r="U1" s="67" t="s">
        <v>204</v>
      </c>
      <c r="V1" s="67" t="s">
        <v>205</v>
      </c>
    </row>
    <row r="2" spans="1:22" x14ac:dyDescent="0.3">
      <c r="A2" s="68" t="s">
        <v>50</v>
      </c>
      <c r="B2" s="69">
        <f>800*18</f>
        <v>14400</v>
      </c>
      <c r="C2" s="70">
        <v>1</v>
      </c>
      <c r="D2" s="69">
        <v>18</v>
      </c>
      <c r="E2" s="70">
        <v>4</v>
      </c>
      <c r="F2" s="69">
        <f t="shared" ref="F2:F9" si="0">B2/D2</f>
        <v>800</v>
      </c>
      <c r="G2" s="70">
        <v>4</v>
      </c>
      <c r="H2" s="69">
        <v>0</v>
      </c>
      <c r="I2" s="70">
        <v>0</v>
      </c>
      <c r="J2" s="69" t="s">
        <v>119</v>
      </c>
      <c r="K2" s="70">
        <v>0</v>
      </c>
      <c r="L2" s="69">
        <v>52</v>
      </c>
      <c r="M2" s="70">
        <v>4</v>
      </c>
      <c r="N2" s="69">
        <v>23</v>
      </c>
      <c r="O2" s="70">
        <v>6</v>
      </c>
      <c r="P2" s="69">
        <v>75</v>
      </c>
      <c r="Q2" s="70">
        <v>8</v>
      </c>
      <c r="R2" s="69">
        <f t="shared" ref="R2:R9" si="1">16500-B2</f>
        <v>2100</v>
      </c>
      <c r="S2" s="71">
        <v>1</v>
      </c>
      <c r="U2" s="72">
        <f>SUM(E2,G2,M2,O2,I2,Q2,S2,K2,C2)</f>
        <v>28</v>
      </c>
      <c r="V2" s="72">
        <f>U2/8</f>
        <v>3.5</v>
      </c>
    </row>
    <row r="3" spans="1:22" x14ac:dyDescent="0.3">
      <c r="A3" s="73" t="s">
        <v>51</v>
      </c>
      <c r="B3" s="74">
        <v>2400</v>
      </c>
      <c r="C3" s="75">
        <v>8</v>
      </c>
      <c r="D3" s="74">
        <v>1</v>
      </c>
      <c r="E3" s="75">
        <v>3</v>
      </c>
      <c r="F3" s="74">
        <f t="shared" si="0"/>
        <v>2400</v>
      </c>
      <c r="G3" s="75">
        <v>3</v>
      </c>
      <c r="H3" s="74">
        <v>0</v>
      </c>
      <c r="I3" s="75">
        <v>0</v>
      </c>
      <c r="J3" s="74" t="s">
        <v>206</v>
      </c>
      <c r="K3" s="75">
        <v>8</v>
      </c>
      <c r="L3" s="74">
        <v>18</v>
      </c>
      <c r="M3" s="75">
        <v>7</v>
      </c>
      <c r="N3" s="74">
        <v>57</v>
      </c>
      <c r="O3" s="75">
        <v>8</v>
      </c>
      <c r="P3" s="74">
        <v>75</v>
      </c>
      <c r="Q3" s="75">
        <v>8</v>
      </c>
      <c r="R3" s="74">
        <f t="shared" si="1"/>
        <v>14100</v>
      </c>
      <c r="S3" s="76">
        <v>8</v>
      </c>
      <c r="U3" s="72">
        <f t="shared" ref="U3:U9" si="2">SUM(E3,G3,M3,O3,I3,Q3,S3,K3,C3)</f>
        <v>53</v>
      </c>
      <c r="V3" s="72">
        <f t="shared" ref="V3:V9" si="3">U3/8</f>
        <v>6.625</v>
      </c>
    </row>
    <row r="4" spans="1:22" x14ac:dyDescent="0.3">
      <c r="A4" s="68" t="s">
        <v>52</v>
      </c>
      <c r="B4" s="69">
        <v>5200</v>
      </c>
      <c r="C4" s="70">
        <v>6</v>
      </c>
      <c r="D4" s="69">
        <v>1</v>
      </c>
      <c r="E4" s="70">
        <v>3</v>
      </c>
      <c r="F4" s="69">
        <f t="shared" si="0"/>
        <v>5200</v>
      </c>
      <c r="G4" s="70">
        <v>2</v>
      </c>
      <c r="H4" s="69">
        <v>1</v>
      </c>
      <c r="I4" s="70">
        <v>8</v>
      </c>
      <c r="J4" s="69" t="s">
        <v>206</v>
      </c>
      <c r="K4" s="70">
        <v>8</v>
      </c>
      <c r="L4" s="69">
        <v>51</v>
      </c>
      <c r="M4" s="70">
        <v>5</v>
      </c>
      <c r="N4" s="69">
        <v>7</v>
      </c>
      <c r="O4" s="70">
        <v>5</v>
      </c>
      <c r="P4" s="69">
        <v>58</v>
      </c>
      <c r="Q4" s="70">
        <v>7</v>
      </c>
      <c r="R4" s="69">
        <f t="shared" si="1"/>
        <v>11300</v>
      </c>
      <c r="S4" s="71">
        <v>6</v>
      </c>
      <c r="U4" s="72">
        <f t="shared" si="2"/>
        <v>50</v>
      </c>
      <c r="V4" s="72">
        <f t="shared" si="3"/>
        <v>6.25</v>
      </c>
    </row>
    <row r="5" spans="1:22" x14ac:dyDescent="0.3">
      <c r="A5" s="73" t="s">
        <v>53</v>
      </c>
      <c r="B5" s="74">
        <v>6500</v>
      </c>
      <c r="C5" s="75">
        <v>3</v>
      </c>
      <c r="D5" s="74">
        <v>1</v>
      </c>
      <c r="E5" s="75">
        <v>3</v>
      </c>
      <c r="F5" s="74">
        <f t="shared" si="0"/>
        <v>6500</v>
      </c>
      <c r="G5" s="75">
        <v>1</v>
      </c>
      <c r="H5" s="74">
        <v>1</v>
      </c>
      <c r="I5" s="75">
        <v>8</v>
      </c>
      <c r="J5" s="74" t="s">
        <v>206</v>
      </c>
      <c r="K5" s="75">
        <v>8</v>
      </c>
      <c r="L5" s="74">
        <v>10</v>
      </c>
      <c r="M5" s="75">
        <v>8</v>
      </c>
      <c r="N5" s="74">
        <v>6</v>
      </c>
      <c r="O5" s="75">
        <v>4</v>
      </c>
      <c r="P5" s="74">
        <v>16</v>
      </c>
      <c r="Q5" s="75">
        <v>6</v>
      </c>
      <c r="R5" s="74">
        <f t="shared" si="1"/>
        <v>10000</v>
      </c>
      <c r="S5" s="76">
        <v>3</v>
      </c>
      <c r="U5" s="72">
        <f t="shared" si="2"/>
        <v>44</v>
      </c>
      <c r="V5" s="72">
        <f t="shared" si="3"/>
        <v>5.5</v>
      </c>
    </row>
    <row r="6" spans="1:22" x14ac:dyDescent="0.3">
      <c r="A6" s="68" t="s">
        <v>54</v>
      </c>
      <c r="B6" s="69">
        <v>4300</v>
      </c>
      <c r="C6" s="70">
        <v>7</v>
      </c>
      <c r="D6" s="69">
        <v>3333</v>
      </c>
      <c r="E6" s="70">
        <v>5</v>
      </c>
      <c r="F6" s="69">
        <f t="shared" si="0"/>
        <v>1.2901290129012901</v>
      </c>
      <c r="G6" s="70">
        <v>8</v>
      </c>
      <c r="H6" s="69">
        <v>0</v>
      </c>
      <c r="I6" s="70">
        <v>0</v>
      </c>
      <c r="J6" s="69" t="s">
        <v>119</v>
      </c>
      <c r="K6" s="70">
        <v>0</v>
      </c>
      <c r="L6" s="69">
        <v>28</v>
      </c>
      <c r="M6" s="70">
        <v>6</v>
      </c>
      <c r="N6" s="69">
        <v>47</v>
      </c>
      <c r="O6" s="70">
        <v>7</v>
      </c>
      <c r="P6" s="69">
        <v>75</v>
      </c>
      <c r="Q6" s="70">
        <v>8</v>
      </c>
      <c r="R6" s="69">
        <f t="shared" si="1"/>
        <v>12200</v>
      </c>
      <c r="S6" s="71">
        <v>7</v>
      </c>
      <c r="U6" s="72">
        <f t="shared" si="2"/>
        <v>48</v>
      </c>
      <c r="V6" s="72">
        <f t="shared" si="3"/>
        <v>6</v>
      </c>
    </row>
    <row r="7" spans="1:22" x14ac:dyDescent="0.3">
      <c r="A7" s="73" t="s">
        <v>55</v>
      </c>
      <c r="B7" s="74">
        <v>5600</v>
      </c>
      <c r="C7" s="75">
        <v>5</v>
      </c>
      <c r="D7" s="74">
        <v>11111</v>
      </c>
      <c r="E7" s="75">
        <v>6</v>
      </c>
      <c r="F7" s="74">
        <f t="shared" si="0"/>
        <v>0.50400504005040048</v>
      </c>
      <c r="G7" s="75">
        <v>7</v>
      </c>
      <c r="H7" s="74">
        <v>0</v>
      </c>
      <c r="I7" s="75">
        <v>0</v>
      </c>
      <c r="J7" s="74" t="s">
        <v>119</v>
      </c>
      <c r="K7" s="75">
        <v>0</v>
      </c>
      <c r="L7" s="74" t="s">
        <v>207</v>
      </c>
      <c r="M7" s="75">
        <v>3</v>
      </c>
      <c r="N7" s="74" t="s">
        <v>207</v>
      </c>
      <c r="O7" s="75">
        <v>3</v>
      </c>
      <c r="P7" s="74" t="s">
        <v>207</v>
      </c>
      <c r="Q7" s="75">
        <v>5</v>
      </c>
      <c r="R7" s="74">
        <f t="shared" si="1"/>
        <v>10900</v>
      </c>
      <c r="S7" s="76">
        <v>5</v>
      </c>
      <c r="U7" s="72">
        <f t="shared" si="2"/>
        <v>34</v>
      </c>
      <c r="V7" s="72">
        <f t="shared" si="3"/>
        <v>4.25</v>
      </c>
    </row>
    <row r="8" spans="1:22" x14ac:dyDescent="0.3">
      <c r="A8" s="68" t="s">
        <v>56</v>
      </c>
      <c r="B8" s="69">
        <v>6100</v>
      </c>
      <c r="C8" s="70">
        <v>4</v>
      </c>
      <c r="D8" s="69">
        <v>22222</v>
      </c>
      <c r="E8" s="70">
        <v>7</v>
      </c>
      <c r="F8" s="69">
        <f t="shared" si="0"/>
        <v>0.27450274502745026</v>
      </c>
      <c r="G8" s="70">
        <v>6</v>
      </c>
      <c r="H8" s="69">
        <v>0</v>
      </c>
      <c r="I8" s="70">
        <v>0</v>
      </c>
      <c r="J8" s="69" t="s">
        <v>119</v>
      </c>
      <c r="K8" s="70">
        <v>0</v>
      </c>
      <c r="L8" s="69" t="s">
        <v>207</v>
      </c>
      <c r="M8" s="70">
        <v>3</v>
      </c>
      <c r="N8" s="69" t="s">
        <v>207</v>
      </c>
      <c r="O8" s="70">
        <v>3</v>
      </c>
      <c r="P8" s="69" t="s">
        <v>207</v>
      </c>
      <c r="Q8" s="70">
        <v>5</v>
      </c>
      <c r="R8" s="69">
        <f t="shared" si="1"/>
        <v>10400</v>
      </c>
      <c r="S8" s="71">
        <v>4</v>
      </c>
      <c r="U8" s="72">
        <f t="shared" si="2"/>
        <v>32</v>
      </c>
      <c r="V8" s="72">
        <f t="shared" si="3"/>
        <v>4</v>
      </c>
    </row>
    <row r="9" spans="1:22" ht="15" thickBot="1" x14ac:dyDescent="0.35">
      <c r="A9" s="77" t="s">
        <v>57</v>
      </c>
      <c r="B9" s="78">
        <v>7200</v>
      </c>
      <c r="C9" s="79">
        <v>2</v>
      </c>
      <c r="D9" s="78">
        <v>130000</v>
      </c>
      <c r="E9" s="79">
        <v>8</v>
      </c>
      <c r="F9" s="78">
        <f t="shared" si="0"/>
        <v>5.5384615384615386E-2</v>
      </c>
      <c r="G9" s="79">
        <v>5</v>
      </c>
      <c r="H9" s="78">
        <v>0</v>
      </c>
      <c r="I9" s="79">
        <v>0</v>
      </c>
      <c r="J9" s="78" t="s">
        <v>206</v>
      </c>
      <c r="K9" s="79">
        <v>8</v>
      </c>
      <c r="L9" s="78" t="s">
        <v>207</v>
      </c>
      <c r="M9" s="79">
        <v>3</v>
      </c>
      <c r="N9" s="78" t="s">
        <v>207</v>
      </c>
      <c r="O9" s="79">
        <v>3</v>
      </c>
      <c r="P9" s="78" t="s">
        <v>207</v>
      </c>
      <c r="Q9" s="79">
        <v>5</v>
      </c>
      <c r="R9" s="78">
        <f t="shared" si="1"/>
        <v>9300</v>
      </c>
      <c r="S9" s="80">
        <v>2</v>
      </c>
      <c r="U9" s="72">
        <f t="shared" si="2"/>
        <v>36</v>
      </c>
      <c r="V9" s="72">
        <f t="shared" si="3"/>
        <v>4.5</v>
      </c>
    </row>
  </sheetData>
  <conditionalFormatting sqref="V2:V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2"/>
  <sheetViews>
    <sheetView zoomScale="73" workbookViewId="0"/>
  </sheetViews>
  <sheetFormatPr defaultRowHeight="14.4" x14ac:dyDescent="0.3"/>
  <cols>
    <col min="1" max="1" width="23.6640625" bestFit="1" customWidth="1"/>
    <col min="2" max="2" width="7" bestFit="1" customWidth="1"/>
    <col min="3" max="3" width="8.33203125" bestFit="1" customWidth="1"/>
    <col min="4" max="4" width="8.6640625" bestFit="1" customWidth="1"/>
    <col min="5" max="5" width="9.33203125" bestFit="1" customWidth="1"/>
    <col min="6" max="6" width="8.33203125" bestFit="1" customWidth="1"/>
    <col min="7" max="7" width="8.109375" bestFit="1" customWidth="1"/>
    <col min="8" max="8" width="8.6640625" bestFit="1" customWidth="1"/>
    <col min="10" max="10" width="115.88671875" style="29" customWidth="1"/>
    <col min="11" max="11" width="12.33203125" bestFit="1" customWidth="1"/>
    <col min="13" max="13" width="23.44140625" bestFit="1" customWidth="1"/>
  </cols>
  <sheetData>
    <row r="1" spans="1:13" ht="72" x14ac:dyDescent="0.3">
      <c r="B1" s="28" t="s">
        <v>139</v>
      </c>
      <c r="C1" s="29" t="s">
        <v>140</v>
      </c>
      <c r="D1" s="29" t="s">
        <v>142</v>
      </c>
      <c r="E1" s="29" t="s">
        <v>208</v>
      </c>
      <c r="F1" s="29" t="s">
        <v>209</v>
      </c>
      <c r="G1" s="29" t="s">
        <v>210</v>
      </c>
      <c r="H1" s="29" t="s">
        <v>211</v>
      </c>
      <c r="I1" s="29" t="s">
        <v>212</v>
      </c>
      <c r="J1" s="29" t="s">
        <v>213</v>
      </c>
    </row>
    <row r="2" spans="1:13" ht="28.8" x14ac:dyDescent="0.3">
      <c r="A2" t="s">
        <v>146</v>
      </c>
      <c r="B2" s="30">
        <v>14400</v>
      </c>
      <c r="C2" s="30">
        <v>18</v>
      </c>
      <c r="D2">
        <v>0</v>
      </c>
      <c r="E2">
        <v>10</v>
      </c>
      <c r="F2">
        <v>10</v>
      </c>
      <c r="G2" t="s">
        <v>214</v>
      </c>
      <c r="H2">
        <v>1</v>
      </c>
      <c r="I2">
        <v>0</v>
      </c>
      <c r="J2" s="29" t="s">
        <v>215</v>
      </c>
      <c r="K2" s="81" t="s">
        <v>216</v>
      </c>
      <c r="M2" s="82" t="s">
        <v>217</v>
      </c>
    </row>
    <row r="3" spans="1:13" x14ac:dyDescent="0.3">
      <c r="A3" s="81" t="s">
        <v>147</v>
      </c>
      <c r="B3" s="83">
        <v>2400</v>
      </c>
      <c r="C3" s="83">
        <v>1</v>
      </c>
      <c r="D3" s="81">
        <v>0</v>
      </c>
      <c r="E3" s="81">
        <v>10</v>
      </c>
      <c r="F3" s="81">
        <v>10</v>
      </c>
      <c r="G3" s="81">
        <v>18</v>
      </c>
      <c r="H3" s="81">
        <v>1</v>
      </c>
      <c r="I3" s="81">
        <v>1</v>
      </c>
      <c r="J3" s="29" t="s">
        <v>218</v>
      </c>
      <c r="K3" s="81">
        <f>B2*I2 + B3*I3+B4*I4+B5*I5+B6*I6+B7*I7+B8*I8+B9*I9</f>
        <v>15700</v>
      </c>
      <c r="M3" s="82">
        <v>16000</v>
      </c>
    </row>
    <row r="4" spans="1:13" x14ac:dyDescent="0.3">
      <c r="A4" t="s">
        <v>148</v>
      </c>
      <c r="B4" s="30">
        <v>5200</v>
      </c>
      <c r="C4" s="30">
        <v>1</v>
      </c>
      <c r="D4">
        <v>1</v>
      </c>
      <c r="E4">
        <v>10</v>
      </c>
      <c r="F4">
        <v>5</v>
      </c>
      <c r="G4">
        <v>51</v>
      </c>
      <c r="H4">
        <v>0</v>
      </c>
      <c r="I4">
        <v>0</v>
      </c>
      <c r="J4" s="29" t="s">
        <v>219</v>
      </c>
    </row>
    <row r="5" spans="1:13" ht="28.8" x14ac:dyDescent="0.3">
      <c r="A5" t="s">
        <v>149</v>
      </c>
      <c r="B5" s="30">
        <v>6500</v>
      </c>
      <c r="C5" s="30">
        <v>1</v>
      </c>
      <c r="D5">
        <v>1</v>
      </c>
      <c r="E5">
        <v>8</v>
      </c>
      <c r="F5">
        <v>5</v>
      </c>
      <c r="G5">
        <v>10</v>
      </c>
      <c r="H5">
        <v>0</v>
      </c>
      <c r="I5">
        <v>0</v>
      </c>
      <c r="J5" s="29" t="s">
        <v>220</v>
      </c>
      <c r="K5" s="84" t="s">
        <v>221</v>
      </c>
    </row>
    <row r="6" spans="1:13" ht="28.8" x14ac:dyDescent="0.3">
      <c r="A6" t="s">
        <v>150</v>
      </c>
      <c r="B6" s="30">
        <v>4300</v>
      </c>
      <c r="C6">
        <v>1000</v>
      </c>
      <c r="D6" t="s">
        <v>119</v>
      </c>
      <c r="E6">
        <v>0</v>
      </c>
      <c r="F6">
        <v>2</v>
      </c>
      <c r="G6">
        <v>0</v>
      </c>
      <c r="H6" t="s">
        <v>119</v>
      </c>
      <c r="I6">
        <v>0</v>
      </c>
      <c r="J6" s="29" t="s">
        <v>222</v>
      </c>
      <c r="K6" s="84">
        <f>M3-K3</f>
        <v>300</v>
      </c>
    </row>
    <row r="7" spans="1:13" ht="28.8" x14ac:dyDescent="0.3">
      <c r="A7" t="s">
        <v>151</v>
      </c>
      <c r="B7" s="30">
        <v>5600</v>
      </c>
      <c r="C7">
        <v>1000</v>
      </c>
      <c r="D7" t="s">
        <v>119</v>
      </c>
      <c r="E7">
        <v>0</v>
      </c>
      <c r="F7" t="s">
        <v>119</v>
      </c>
      <c r="G7">
        <v>0</v>
      </c>
      <c r="H7" t="s">
        <v>119</v>
      </c>
      <c r="I7">
        <v>0</v>
      </c>
      <c r="J7" s="29" t="s">
        <v>223</v>
      </c>
    </row>
    <row r="8" spans="1:13" x14ac:dyDescent="0.3">
      <c r="A8" s="81" t="s">
        <v>152</v>
      </c>
      <c r="B8" s="83">
        <v>6100</v>
      </c>
      <c r="C8" s="81">
        <v>100000</v>
      </c>
      <c r="D8" s="81">
        <v>0</v>
      </c>
      <c r="E8" s="81">
        <v>5</v>
      </c>
      <c r="F8" s="81">
        <v>0</v>
      </c>
      <c r="G8" s="81">
        <v>0</v>
      </c>
      <c r="H8" s="81">
        <v>0</v>
      </c>
      <c r="I8" s="81">
        <v>1</v>
      </c>
      <c r="J8" s="29" t="s">
        <v>224</v>
      </c>
    </row>
    <row r="9" spans="1:13" ht="28.8" x14ac:dyDescent="0.3">
      <c r="A9" s="81" t="s">
        <v>153</v>
      </c>
      <c r="B9" s="83">
        <v>7200</v>
      </c>
      <c r="C9" s="83">
        <v>130000</v>
      </c>
      <c r="D9" s="81">
        <v>0</v>
      </c>
      <c r="E9" s="81">
        <v>5</v>
      </c>
      <c r="F9" s="81">
        <v>0</v>
      </c>
      <c r="G9" s="81">
        <v>0</v>
      </c>
      <c r="H9" s="81">
        <v>0</v>
      </c>
      <c r="I9" s="81">
        <v>1</v>
      </c>
      <c r="J9" s="29" t="s">
        <v>225</v>
      </c>
    </row>
    <row r="16" spans="1:13" x14ac:dyDescent="0.3">
      <c r="F16" s="85"/>
      <c r="G16" s="85"/>
      <c r="I16" s="86"/>
    </row>
    <row r="18" spans="1:9" x14ac:dyDescent="0.3">
      <c r="A18" s="87"/>
      <c r="C18" s="88"/>
      <c r="D18" s="88"/>
      <c r="E18" s="88"/>
    </row>
    <row r="19" spans="1:9" x14ac:dyDescent="0.3">
      <c r="A19" s="85"/>
      <c r="B19" s="85"/>
      <c r="C19" s="85"/>
      <c r="D19" s="85"/>
      <c r="E19" s="85"/>
      <c r="F19" s="85"/>
      <c r="G19" s="85"/>
      <c r="I19" s="86"/>
    </row>
    <row r="21" spans="1:9" x14ac:dyDescent="0.3">
      <c r="A21" s="89"/>
      <c r="C21" s="90"/>
      <c r="D21" s="88"/>
      <c r="E21" s="88"/>
    </row>
    <row r="22" spans="1:9" x14ac:dyDescent="0.3">
      <c r="A22" s="85"/>
      <c r="B22" s="85"/>
      <c r="C22" s="85"/>
      <c r="D22" s="85"/>
      <c r="E22" s="85"/>
      <c r="F22" s="85"/>
      <c r="G22" s="85"/>
      <c r="I22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1ofn</vt:lpstr>
      <vt:lpstr>2ofn</vt:lpstr>
      <vt:lpstr>3ofn</vt:lpstr>
      <vt:lpstr>4ofn</vt:lpstr>
      <vt:lpstr>5ofn</vt:lpstr>
      <vt:lpstr>6ofn</vt:lpstr>
      <vt:lpstr>7ofn</vt:lpstr>
      <vt:lpstr>8ofn</vt:lpstr>
      <vt:lpstr>9ofn</vt:lpstr>
      <vt:lpstr>10ofn</vt:lpstr>
      <vt:lpstr>11ofn</vt:lpstr>
      <vt:lpstr>12ofn</vt:lpstr>
      <vt:lpstr>OAM</vt:lpstr>
      <vt:lpstr>OAM (2)</vt:lpstr>
      <vt:lpstr>OAM (3)</vt:lpstr>
      <vt:lpstr>OAM (4)</vt:lpstr>
      <vt:lpstr>OAM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Kristóf</dc:creator>
  <cp:lastModifiedBy>Lttd</cp:lastModifiedBy>
  <dcterms:created xsi:type="dcterms:W3CDTF">2015-06-05T18:17:20Z</dcterms:created>
  <dcterms:modified xsi:type="dcterms:W3CDTF">2021-10-07T13:15:05Z</dcterms:modified>
</cp:coreProperties>
</file>