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1355" windowHeight="9210" activeTab="1"/>
  </bookViews>
  <sheets>
    <sheet name="Adatbázis" sheetId="1" r:id="rId1"/>
    <sheet name="Coco" sheetId="2" r:id="rId2"/>
    <sheet name="Pivot" sheetId="3" r:id="rId3"/>
    <sheet name="Alapadatok" sheetId="4" r:id="rId4"/>
  </sheets>
  <definedNames>
    <definedName name="solver_adj" localSheetId="1" hidden="1">'Coco'!$B$37:$G$50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'Coco'!$I$37:$N$49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'Coco'!$J$69</definedName>
    <definedName name="solver_pre" localSheetId="1" hidden="1">0.000001</definedName>
    <definedName name="solver_rel1" localSheetId="1" hidden="1">3</definedName>
    <definedName name="solver_rhs1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<sst xmlns="http://schemas.openxmlformats.org/spreadsheetml/2006/main" count="404" uniqueCount="97">
  <si>
    <t>Magyarország</t>
  </si>
  <si>
    <t>Németország</t>
  </si>
  <si>
    <t>Svédország</t>
  </si>
  <si>
    <t>Franciaország</t>
  </si>
  <si>
    <t>Ausztria</t>
  </si>
  <si>
    <t>Spanyolország</t>
  </si>
  <si>
    <t>http://translate.googleusercontent.com/translate_c?hl=hu&amp;ie=UTF-8&amp;sl=en&amp;tl=hu&amp;u=http://epp.eurostat.ec.europa.eu/tgm/table.do%3Ftab%3Dtable%26init%3D1%26plugin%3D1%26language%3Den%26pcode%3Dtsien180&amp;prev=_t&amp;rurl=translate.google.hu&amp;usg=ALkJrhhbuuLuli2zaIx</t>
  </si>
  <si>
    <t>Egészségben eltöltött évek nőknél</t>
  </si>
  <si>
    <t>Egészségben eltöltött évek férfiaknál</t>
  </si>
  <si>
    <t>http://epp.eurostat.ec.europa.eu/tgm/refreshTableAction.do;jsessionid=9ea7974b30ea3ba1ed8c045a40078c6beaa76380be7a.e34SbxiOchiKc40LbNmLahiKb3mOe0?tab=table&amp;plugin=1&amp;pcode=tsien180&amp;language=en</t>
  </si>
  <si>
    <t>GDP növekedésének üteme(%)</t>
  </si>
  <si>
    <t>Összes kiadás a szociális védelemre(GDP %-ban)</t>
  </si>
  <si>
    <t>http://epp.eurostat.ec.europa.eu/tgm/table.do?tab=table&amp;init=1&amp;language=en&amp;pcode=tps00098&amp;plugin=1</t>
  </si>
  <si>
    <t>http://epp.eurostat.ec.europa.eu/tgm/table.do?tab=table&amp;init=1&amp;language=en&amp;pcode=tps00046&amp;plugin=1</t>
  </si>
  <si>
    <t>Munkanélküliségi ráta(%)</t>
  </si>
  <si>
    <t>http://epp.eurostat.ec.europa.eu/tgm/table.do?tab=table&amp;init=1&amp;language=en&amp;pcode=tsiem110&amp;plugin=1</t>
  </si>
  <si>
    <t>http://epp.eurostat.ec.europa.eu/tgm/table.do?tab=table&amp;init=1&amp;language=en&amp;pcode=tps00165&amp;plugin=1</t>
  </si>
  <si>
    <t>http://translate.googleusercontent.com/translate_c?hl=hu&amp;ie=UTF-8&amp;sl=en&amp;tl=hu&amp;u=http://epp.eurostat.ec.europa.eu/tgm/table.do%3Ftab%3Dtable%26init%3D1%26plugin%3D1%26language%3Den%26pcode%3Dtsdec100&amp;prev=_t&amp;rurl=translate.google.hu&amp;usg=ALkJrhhDbQbxrroqr-d</t>
  </si>
  <si>
    <t>Kórházi ágyak száma(100 ezer lakosra)</t>
  </si>
  <si>
    <t>Halálozások száma(ezer lakos)</t>
  </si>
  <si>
    <t>Csehország</t>
  </si>
  <si>
    <t>Dánia</t>
  </si>
  <si>
    <t>Hollandia</t>
  </si>
  <si>
    <t>Lengyelország</t>
  </si>
  <si>
    <t>Szlovákia</t>
  </si>
  <si>
    <t>Egyesült Királyság</t>
  </si>
  <si>
    <t>Ciprus</t>
  </si>
  <si>
    <t>Norvégia</t>
  </si>
  <si>
    <t>Objektum</t>
  </si>
  <si>
    <t>Tulajdonság</t>
  </si>
  <si>
    <t>érték</t>
  </si>
  <si>
    <t>Dátum</t>
  </si>
  <si>
    <t>Forrás</t>
  </si>
  <si>
    <t>Mértékegység</t>
  </si>
  <si>
    <t>egészségben eltöltött évek nőknél</t>
  </si>
  <si>
    <t>egészségben eltöltött évek férfiaknál</t>
  </si>
  <si>
    <t>GDP növekedésének üteme</t>
  </si>
  <si>
    <t>Munkanélküliségi ráta</t>
  </si>
  <si>
    <t>Halálozások száma</t>
  </si>
  <si>
    <t>db</t>
  </si>
  <si>
    <t>%</t>
  </si>
  <si>
    <t>Összes kiadás a szociális védelemre(GDPből)</t>
  </si>
  <si>
    <t>100 ezer lakosra jutó kórházi ágyak száma</t>
  </si>
  <si>
    <t>http://epp.eurostat.ec.europa.eu/tgm/table.do?tab=table&amp;init=1&amp;language=en&amp;pcode=tsiem110&amp;plugin=2</t>
  </si>
  <si>
    <t>http://epp.eurostat.ec.europa.eu/tgm/table.do?tab=table&amp;init=1&amp;language=en&amp;pcode=tsiem110&amp;plugin=3</t>
  </si>
  <si>
    <t>http://epp.eurostat.ec.europa.eu/tgm/table.do?tab=table&amp;init=1&amp;language=en&amp;pcode=tsiem110&amp;plugin=4</t>
  </si>
  <si>
    <t>http://epp.eurostat.ec.europa.eu/tgm/table.do?tab=table&amp;init=1&amp;language=en&amp;pcode=tsiem110&amp;plugin=5</t>
  </si>
  <si>
    <t>http://epp.eurostat.ec.europa.eu/tgm/table.do?tab=table&amp;init=1&amp;language=en&amp;pcode=tsiem110&amp;plugin=6</t>
  </si>
  <si>
    <t>http://epp.eurostat.ec.europa.eu/tgm/table.do?tab=table&amp;init=1&amp;language=en&amp;pcode=tsiem110&amp;plugin=7</t>
  </si>
  <si>
    <t>http://epp.eurostat.ec.europa.eu/tgm/table.do?tab=table&amp;init=1&amp;language=en&amp;pcode=tsiem110&amp;plugin=8</t>
  </si>
  <si>
    <t>http://epp.eurostat.ec.europa.eu/tgm/table.do?tab=table&amp;init=1&amp;language=en&amp;pcode=tsiem110&amp;plugin=9</t>
  </si>
  <si>
    <t>http://epp.eurostat.ec.europa.eu/tgm/table.do?tab=table&amp;init=1&amp;language=en&amp;pcode=tsiem110&amp;plugin=10</t>
  </si>
  <si>
    <t>http://epp.eurostat.ec.europa.eu/tgm/table.do?tab=table&amp;init=1&amp;language=en&amp;pcode=tsiem110&amp;plugin=11</t>
  </si>
  <si>
    <t>http://epp.eurostat.ec.europa.eu/tgm/table.do?tab=table&amp;init=1&amp;language=en&amp;pcode=tsiem110&amp;plugin=12</t>
  </si>
  <si>
    <t>http://epp.eurostat.ec.europa.eu/tgm/table.do?tab=table&amp;init=1&amp;language=en&amp;pcode=tsiem110&amp;plugin=13</t>
  </si>
  <si>
    <t>http://epp.eurostat.ec.europa.eu/tgm/table.do?tab=table&amp;init=1&amp;language=en&amp;pcode=tsiem110&amp;plugin=14</t>
  </si>
  <si>
    <t>http://epp.eurostat.ec.europa.eu/tgm/table.do?tab=table&amp;init=1&amp;language=en&amp;pcode=tps00098&amp;plugin=2</t>
  </si>
  <si>
    <t>http://epp.eurostat.ec.europa.eu/tgm/table.do?tab=table&amp;init=1&amp;language=en&amp;pcode=tps00098&amp;plugin=3</t>
  </si>
  <si>
    <t>http://epp.eurostat.ec.europa.eu/tgm/table.do?tab=table&amp;init=1&amp;language=en&amp;pcode=tps00098&amp;plugin=4</t>
  </si>
  <si>
    <t>http://epp.eurostat.ec.europa.eu/tgm/table.do?tab=table&amp;init=1&amp;language=en&amp;pcode=tps00098&amp;plugin=5</t>
  </si>
  <si>
    <t>http://epp.eurostat.ec.europa.eu/tgm/table.do?tab=table&amp;init=1&amp;language=en&amp;pcode=tps00098&amp;plugin=6</t>
  </si>
  <si>
    <t>http://epp.eurostat.ec.europa.eu/tgm/table.do?tab=table&amp;init=1&amp;language=en&amp;pcode=tps00098&amp;plugin=7</t>
  </si>
  <si>
    <t>http://epp.eurostat.ec.europa.eu/tgm/table.do?tab=table&amp;init=1&amp;language=en&amp;pcode=tps00098&amp;plugin=8</t>
  </si>
  <si>
    <t>http://epp.eurostat.ec.europa.eu/tgm/table.do?tab=table&amp;init=1&amp;language=en&amp;pcode=tps00098&amp;plugin=9</t>
  </si>
  <si>
    <t>http://epp.eurostat.ec.europa.eu/tgm/table.do?tab=table&amp;init=1&amp;language=en&amp;pcode=tps00098&amp;plugin=10</t>
  </si>
  <si>
    <t>http://epp.eurostat.ec.europa.eu/tgm/table.do?tab=table&amp;init=1&amp;language=en&amp;pcode=tps00098&amp;plugin=11</t>
  </si>
  <si>
    <t>http://epp.eurostat.ec.europa.eu/tgm/table.do?tab=table&amp;init=1&amp;language=en&amp;pcode=tps00098&amp;plugin=12</t>
  </si>
  <si>
    <t>http://epp.eurostat.ec.europa.eu/tgm/table.do?tab=table&amp;init=1&amp;language=en&amp;pcode=tps00098&amp;plugin=13</t>
  </si>
  <si>
    <t>http://epp.eurostat.ec.europa.eu/tgm/table.do?tab=table&amp;init=1&amp;language=en&amp;pcode=tps00098&amp;plugin=14</t>
  </si>
  <si>
    <t>http://epp.eurostat.ec.europa.eu/tgm/table.do?tab=table&amp;init=1&amp;language=en&amp;pcode=tps00046&amp;plugin=2</t>
  </si>
  <si>
    <t>http://epp.eurostat.ec.europa.eu/tgm/table.do?tab=table&amp;init=1&amp;language=en&amp;pcode=tps00046&amp;plugin=3</t>
  </si>
  <si>
    <t>http://epp.eurostat.ec.europa.eu/tgm/table.do?tab=table&amp;init=1&amp;language=en&amp;pcode=tps00046&amp;plugin=4</t>
  </si>
  <si>
    <t>http://epp.eurostat.ec.europa.eu/tgm/table.do?tab=table&amp;init=1&amp;language=en&amp;pcode=tps00046&amp;plugin=5</t>
  </si>
  <si>
    <t>http://epp.eurostat.ec.europa.eu/tgm/table.do?tab=table&amp;init=1&amp;language=en&amp;pcode=tps00046&amp;plugin=6</t>
  </si>
  <si>
    <t>http://epp.eurostat.ec.europa.eu/tgm/table.do?tab=table&amp;init=1&amp;language=en&amp;pcode=tps00046&amp;plugin=7</t>
  </si>
  <si>
    <t>http://epp.eurostat.ec.europa.eu/tgm/table.do?tab=table&amp;init=1&amp;language=en&amp;pcode=tps00046&amp;plugin=8</t>
  </si>
  <si>
    <t>http://epp.eurostat.ec.europa.eu/tgm/table.do?tab=table&amp;init=1&amp;language=en&amp;pcode=tps00046&amp;plugin=9</t>
  </si>
  <si>
    <t>http://epp.eurostat.ec.europa.eu/tgm/table.do?tab=table&amp;init=1&amp;language=en&amp;pcode=tps00046&amp;plugin=10</t>
  </si>
  <si>
    <t>http://epp.eurostat.ec.europa.eu/tgm/table.do?tab=table&amp;init=1&amp;language=en&amp;pcode=tps00046&amp;plugin=11</t>
  </si>
  <si>
    <t>http://epp.eurostat.ec.europa.eu/tgm/table.do?tab=table&amp;init=1&amp;language=en&amp;pcode=tps00046&amp;plugin=12</t>
  </si>
  <si>
    <t>http://epp.eurostat.ec.europa.eu/tgm/table.do?tab=table&amp;init=1&amp;language=en&amp;pcode=tps00046&amp;plugin=13</t>
  </si>
  <si>
    <t>http://epp.eurostat.ec.europa.eu/tgm/table.do?tab=table&amp;init=1&amp;language=en&amp;pcode=tps00046&amp;plugin=14</t>
  </si>
  <si>
    <t>Összeg / érték</t>
  </si>
  <si>
    <t>Darab / érték</t>
  </si>
  <si>
    <t>Alapadatok</t>
  </si>
  <si>
    <t>Rangsor</t>
  </si>
  <si>
    <t>Lépcsők</t>
  </si>
  <si>
    <t>Segédtábla</t>
  </si>
  <si>
    <t>számított y</t>
  </si>
  <si>
    <t>eltérés</t>
  </si>
  <si>
    <t>ítélet</t>
  </si>
  <si>
    <t>100 ezer lakosból</t>
  </si>
  <si>
    <t>http://portal.ksh.hu/pls/ksh/docs/hun/eurostat_tablak/t_health/tps00152.html</t>
  </si>
  <si>
    <t>coco</t>
  </si>
  <si>
    <t>összes eltérés</t>
  </si>
  <si>
    <t>Fontosság</t>
  </si>
  <si>
    <t>Érzékenység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</si>
</sst>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0.00000"/>
    <numFmt numFmtId="168" formatCode="0.00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3" applyNumberFormat="1" applyAlignment="1" applyProtection="1">
      <alignment/>
      <protection/>
    </xf>
    <xf numFmtId="0" fontId="3" fillId="0" borderId="0" xfId="43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9" fontId="0" fillId="0" borderId="0" xfId="62" applyFont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9" fontId="0" fillId="33" borderId="0" xfId="62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Objektum">
      <sharedItems containsMixedTypes="0" count="14">
        <s v="Magyarország"/>
        <s v="Németország"/>
        <s v="Svédország"/>
        <s v="Franciaország"/>
        <s v="Ausztria"/>
        <s v="Csehország"/>
        <s v="Dánia"/>
        <s v="Hollandia"/>
        <s v="Lengyelország"/>
        <s v="Szlovákia"/>
        <s v="Norvégia"/>
        <s v="Ciprus"/>
        <s v="Egyesült Királyság"/>
        <s v="Spanyolország"/>
      </sharedItems>
    </cacheField>
    <cacheField name="Tulajdons?g">
      <sharedItems containsMixedTypes="0" count="7">
        <s v="egészségben eltöltött évek nőknél"/>
        <s v="egészségben eltöltött évek férfiaknál"/>
        <s v="GDP növekedésének üteme"/>
        <s v="Összes kiadás a szociális védelemre(GDPből)"/>
        <s v="100 ezer lakosra jutó kórházi ágyak száma"/>
        <s v="Munkanélküliségi ráta"/>
        <s v="Halálozások száma"/>
      </sharedItems>
    </cacheField>
    <cacheField name="?rt?k">
      <sharedItems containsSemiMixedTypes="0" containsString="0" containsMixedTypes="0" containsNumber="1"/>
    </cacheField>
    <cacheField name="M?rt?kegys?g">
      <sharedItems containsMixedTypes="0" count="3">
        <s v="db"/>
        <s v="%"/>
        <s v="100 ezer lakosból"/>
      </sharedItems>
    </cacheField>
    <cacheField name="D?tum">
      <sharedItems containsSemiMixedTypes="0" containsString="0" containsMixedTypes="0" containsNumber="1" containsInteger="1" count="1">
        <n v="2007"/>
      </sharedItems>
    </cacheField>
    <cacheField name="Forr?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3" cacheId="1" applyNumberFormats="0" applyBorderFormats="0" applyFontFormats="0" applyPatternFormats="0" applyAlignmentFormats="0" applyWidthHeightFormats="0" dataCaption="Adatok" showMissing="1" preserveFormatting="1" useAutoFormatting="1" rowGrandTotals="0" colGrandTotals="0" itemPrintTitles="1" compactData="0" updatedVersion="2" indent="0" showMemberPropertyTips="1">
  <location ref="A23:H39" firstHeaderRow="1" firstDataRow="3" firstDataCol="1"/>
  <pivotFields count="6">
    <pivotField axis="axisRow" compact="0" outline="0" subtotalTop="0" showAll="0">
      <items count="15">
        <item x="4"/>
        <item x="11"/>
        <item x="5"/>
        <item x="6"/>
        <item x="12"/>
        <item x="3"/>
        <item x="7"/>
        <item x="8"/>
        <item x="0"/>
        <item x="1"/>
        <item x="10"/>
        <item x="13"/>
        <item x="2"/>
        <item x="9"/>
        <item t="default"/>
      </items>
    </pivotField>
    <pivotField axis="axisCol" compact="0" outline="0" subtotalTop="0" showAll="0" defaultSubtotal="0">
      <items count="7">
        <item x="4"/>
        <item x="1"/>
        <item x="0"/>
        <item x="2"/>
        <item x="5"/>
        <item x="3"/>
        <item x="6"/>
      </items>
    </pivotField>
    <pivotField dataField="1" compact="0" outline="0" subtotalTop="0" showAll="0" numFmtId="2"/>
    <pivotField axis="axisCol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compact="0" outline="0" subtotalTop="0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2">
    <field x="1"/>
    <field x="3"/>
  </colFields>
  <colItems count="7">
    <i>
      <x/>
      <x v="2"/>
    </i>
    <i>
      <x v="1"/>
      <x v="2"/>
    </i>
    <i>
      <x v="2"/>
      <x v="2"/>
    </i>
    <i>
      <x v="3"/>
      <x/>
    </i>
    <i>
      <x v="4"/>
      <x/>
    </i>
    <i>
      <x v="5"/>
      <x/>
    </i>
    <i>
      <x v="6"/>
      <x v="1"/>
    </i>
  </colItems>
  <dataFields count="1">
    <dataField name="Darab / ?rt?k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imutatás2" cacheId="1" applyNumberFormats="0" applyBorderFormats="0" applyFontFormats="0" applyPatternFormats="0" applyAlignmentFormats="0" applyWidthHeightFormats="0" dataCaption="Adatok" showMissing="1" preserveFormatting="1" useAutoFormatting="1" rowGrandTotals="0" colGrandTotals="0" itemPrintTitles="1" compactData="0" updatedVersion="2" indent="0" showMemberPropertyTips="1">
  <location ref="A3:H19" firstHeaderRow="1" firstDataRow="3" firstDataCol="1"/>
  <pivotFields count="6">
    <pivotField axis="axisRow" compact="0" outline="0" subtotalTop="0" showAll="0">
      <items count="15">
        <item x="4"/>
        <item x="11"/>
        <item x="5"/>
        <item x="6"/>
        <item x="12"/>
        <item x="3"/>
        <item x="7"/>
        <item x="8"/>
        <item x="0"/>
        <item x="1"/>
        <item x="10"/>
        <item x="13"/>
        <item x="2"/>
        <item x="9"/>
        <item t="default"/>
      </items>
    </pivotField>
    <pivotField axis="axisCol" compact="0" outline="0" subtotalTop="0" showAll="0" defaultSubtotal="0">
      <items count="7">
        <item x="4"/>
        <item x="1"/>
        <item x="0"/>
        <item x="2"/>
        <item x="5"/>
        <item x="3"/>
        <item x="6"/>
      </items>
    </pivotField>
    <pivotField dataField="1" compact="0" outline="0" subtotalTop="0" showAll="0" numFmtId="2"/>
    <pivotField axis="axisCol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compact="0" outline="0" subtotalTop="0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2">
    <field x="1"/>
    <field x="3"/>
  </colFields>
  <colItems count="7">
    <i>
      <x/>
      <x v="2"/>
    </i>
    <i>
      <x v="1"/>
      <x v="2"/>
    </i>
    <i>
      <x v="2"/>
      <x v="2"/>
    </i>
    <i>
      <x v="3"/>
      <x/>
    </i>
    <i>
      <x v="4"/>
      <x/>
    </i>
    <i>
      <x v="5"/>
      <x/>
    </i>
    <i>
      <x v="6"/>
      <x v="1"/>
    </i>
  </colItems>
  <dataFields count="1">
    <dataField name="?sszeg / ?rt?k" fld="2" baseField="0" baseItem="0" numFmtId="2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late.googleusercontent.com/translate_c?hl=hu&amp;ie=UTF-8&amp;sl=en&amp;tl=hu&amp;u=http://epp.eurostat.ec.europa.eu/tgm/table.do%3Ftab%3Dtable%26init%3D1%26plugin%3D1%26language%3Den%26pcode%3Dtsien180&amp;prev=_t&amp;rurl=translate.google.hu&amp;usg=ALkJrhhbuuLuli2zaIx" TargetMode="External" /><Relationship Id="rId2" Type="http://schemas.openxmlformats.org/officeDocument/2006/relationships/hyperlink" Target="http://translate.googleusercontent.com/translate_c?hl=hu&amp;ie=UTF-8&amp;sl=en&amp;tl=hu&amp;u=http://epp.eurostat.ec.europa.eu/tgm/table.do%3Ftab%3Dtable%26init%3D1%26plugin%3D1%26language%3Den%26pcode%3Dtsien180&amp;prev=_t&amp;rurl=translate.google.hu&amp;usg=ALkJrhhbuuLuli2zaIx" TargetMode="External" /><Relationship Id="rId3" Type="http://schemas.openxmlformats.org/officeDocument/2006/relationships/hyperlink" Target="http://epp.eurostat.ec.europa.eu/tgm/refreshTableAction.do;jsessionid=9ea7974b30ea3ba1ed8c045a40078c6beaa76380be7a.e34SbxiOchiKc40LbNmLahiKb3mOe0?tab=table&amp;plugin=1&amp;pcode=tsien180&amp;language=en" TargetMode="External" /><Relationship Id="rId4" Type="http://schemas.openxmlformats.org/officeDocument/2006/relationships/hyperlink" Target="http://epp.eurostat.ec.europa.eu/tgm/refreshTableAction.do;jsessionid=9ea7974b30ea3ba1ed8c045a40078c6beaa76380be7a.e34SbxiOchiKc40LbNmLahiKb3mOe0?tab=table&amp;plugin=1&amp;pcode=tsien180&amp;language=en" TargetMode="External" /><Relationship Id="rId5" Type="http://schemas.openxmlformats.org/officeDocument/2006/relationships/hyperlink" Target="http://translate.googleusercontent.com/translate_c?hl=hu&amp;ie=UTF-8&amp;sl=en&amp;tl=hu&amp;u=http://epp.eurostat.ec.europa.eu/tgm/table.do%3Ftab%3Dtable%26init%3D1%26plugin%3D1%26language%3Den%26pcode%3Dtsdec100&amp;prev=_t&amp;rurl=translate.google.hu&amp;usg=ALkJrhhDbQbxrroqr-d" TargetMode="External" /><Relationship Id="rId6" Type="http://schemas.openxmlformats.org/officeDocument/2006/relationships/hyperlink" Target="http://translate.googleusercontent.com/translate_c?hl=hu&amp;ie=UTF-8&amp;sl=en&amp;tl=hu&amp;u=http://epp.eurostat.ec.europa.eu/tgm/table.do%3Ftab%3Dtable%26init%3D1%26plugin%3D1%26language%3Den%26pcode%3Dtsdec100&amp;prev=_t&amp;rurl=translate.google.hu&amp;usg=ALkJrhhDbQbxrroqr-d" TargetMode="External" /><Relationship Id="rId7" Type="http://schemas.openxmlformats.org/officeDocument/2006/relationships/hyperlink" Target="http://epp.eurostat.ec.europa.eu/tgm/table.do?tab=table&amp;init=1&amp;language=en&amp;pcode=tps00098&amp;plugin=1" TargetMode="External" /><Relationship Id="rId8" Type="http://schemas.openxmlformats.org/officeDocument/2006/relationships/hyperlink" Target="http://epp.eurostat.ec.europa.eu/tgm/table.do?tab=table&amp;init=1&amp;language=en&amp;pcode=tps00098&amp;plugin=1" TargetMode="External" /><Relationship Id="rId9" Type="http://schemas.openxmlformats.org/officeDocument/2006/relationships/hyperlink" Target="http://epp.eurostat.ec.europa.eu/tgm/table.do?tab=table&amp;init=1&amp;language=en&amp;pcode=tps00046&amp;plugin=1" TargetMode="External" /><Relationship Id="rId10" Type="http://schemas.openxmlformats.org/officeDocument/2006/relationships/hyperlink" Target="http://epp.eurostat.ec.europa.eu/tgm/table.do?tab=table&amp;init=1&amp;language=en&amp;pcode=tps00046&amp;plugin=1" TargetMode="External" /><Relationship Id="rId11" Type="http://schemas.openxmlformats.org/officeDocument/2006/relationships/hyperlink" Target="http://epp.eurostat.ec.europa.eu/tgm/table.do?tab=table&amp;init=1&amp;language=en&amp;pcode=tsiem110&amp;plugin=1" TargetMode="External" /><Relationship Id="rId12" Type="http://schemas.openxmlformats.org/officeDocument/2006/relationships/hyperlink" Target="http://epp.eurostat.ec.europa.eu/tgm/table.do?tab=table&amp;init=1&amp;language=en&amp;pcode=tsiem110&amp;plugin=1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ranslate.googleusercontent.com/translate_c?hl=hu&amp;ie=UTF-8&amp;sl=en&amp;tl=hu&amp;u=http://epp.eurostat.ec.europa.eu/tgm/table.do%3Ftab%3Dtable%26init%3D1%26plugin%3D1%26language%3Den%26pcode%3Dtsien180&amp;prev=_t&amp;rurl=translate.google.hu&amp;usg=ALkJrhhbuuLuli2zaIx" TargetMode="External" /><Relationship Id="rId2" Type="http://schemas.openxmlformats.org/officeDocument/2006/relationships/hyperlink" Target="http://epp.eurostat.ec.europa.eu/tgm/refreshTableAction.do;jsessionid=9ea7974b30ea3ba1ed8c045a40078c6beaa76380be7a.e34SbxiOchiKc40LbNmLahiKb3mOe0?tab=table&amp;plugin=1&amp;pcode=tsien180&amp;language=en" TargetMode="External" /><Relationship Id="rId3" Type="http://schemas.openxmlformats.org/officeDocument/2006/relationships/hyperlink" Target="http://epp.eurostat.ec.europa.eu/tgm/table.do?tab=table&amp;init=1&amp;language=en&amp;pcode=tps00098&amp;plugin=1" TargetMode="External" /><Relationship Id="rId4" Type="http://schemas.openxmlformats.org/officeDocument/2006/relationships/hyperlink" Target="http://epp.eurostat.ec.europa.eu/tgm/table.do?tab=table&amp;init=1&amp;language=en&amp;pcode=tps00046&amp;plugin=1" TargetMode="External" /><Relationship Id="rId5" Type="http://schemas.openxmlformats.org/officeDocument/2006/relationships/hyperlink" Target="http://epp.eurostat.ec.europa.eu/tgm/table.do?tab=table&amp;init=1&amp;language=en&amp;pcode=tsiem110&amp;plugin=1" TargetMode="External" /><Relationship Id="rId6" Type="http://schemas.openxmlformats.org/officeDocument/2006/relationships/hyperlink" Target="http://epp.eurostat.ec.europa.eu/tgm/table.do?tab=table&amp;init=1&amp;language=en&amp;pcode=tps00165&amp;plugin=1" TargetMode="External" /><Relationship Id="rId7" Type="http://schemas.openxmlformats.org/officeDocument/2006/relationships/hyperlink" Target="http://translate.googleusercontent.com/translate_c?hl=hu&amp;ie=UTF-8&amp;sl=en&amp;tl=hu&amp;u=http://epp.eurostat.ec.europa.eu/tgm/table.do%3Ftab%3Dtable%26init%3D1%26plugin%3D1%26language%3Den%26pcode%3Dtsdec100&amp;prev=_t&amp;rurl=translate.google.hu&amp;usg=ALkJrhhDbQbxrroqr-d" TargetMode="Externa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D102" sqref="D102"/>
    </sheetView>
  </sheetViews>
  <sheetFormatPr defaultColWidth="9.140625" defaultRowHeight="12.75"/>
  <cols>
    <col min="1" max="1" width="16.7109375" style="0" bestFit="1" customWidth="1"/>
    <col min="2" max="2" width="40.28125" style="0" bestFit="1" customWidth="1"/>
    <col min="4" max="4" width="15.7109375" style="0" bestFit="1" customWidth="1"/>
    <col min="6" max="6" width="244.7109375" style="0" bestFit="1" customWidth="1"/>
  </cols>
  <sheetData>
    <row r="1" spans="1:6" ht="12.75">
      <c r="A1" s="1" t="s">
        <v>28</v>
      </c>
      <c r="B1" s="1" t="s">
        <v>29</v>
      </c>
      <c r="C1" s="1" t="s">
        <v>30</v>
      </c>
      <c r="D1" s="1" t="s">
        <v>33</v>
      </c>
      <c r="E1" s="1" t="s">
        <v>31</v>
      </c>
      <c r="F1" s="1" t="s">
        <v>32</v>
      </c>
    </row>
    <row r="2" spans="1:6" ht="12.75">
      <c r="A2" t="str">
        <f>Alapadatok!A3</f>
        <v>Magyarország</v>
      </c>
      <c r="B2" t="s">
        <v>34</v>
      </c>
      <c r="C2" s="4">
        <f>Alapadatok!E3</f>
        <v>57.6</v>
      </c>
      <c r="D2" t="s">
        <v>39</v>
      </c>
      <c r="E2">
        <v>2007</v>
      </c>
      <c r="F2" s="2" t="s">
        <v>6</v>
      </c>
    </row>
    <row r="3" spans="1:6" ht="12.75">
      <c r="A3" t="str">
        <f>Alapadatok!A4</f>
        <v>Németország</v>
      </c>
      <c r="B3" t="s">
        <v>34</v>
      </c>
      <c r="C3" s="4">
        <f>Alapadatok!E4</f>
        <v>58.4</v>
      </c>
      <c r="D3" t="s">
        <v>39</v>
      </c>
      <c r="E3">
        <v>2007</v>
      </c>
      <c r="F3" s="2" t="s">
        <v>6</v>
      </c>
    </row>
    <row r="4" spans="1:6" ht="12.75">
      <c r="A4" t="str">
        <f>Alapadatok!A5</f>
        <v>Svédország</v>
      </c>
      <c r="B4" t="s">
        <v>34</v>
      </c>
      <c r="C4" s="4">
        <f>Alapadatok!E5</f>
        <v>66.6</v>
      </c>
      <c r="D4" t="s">
        <v>39</v>
      </c>
      <c r="E4">
        <v>2007</v>
      </c>
      <c r="F4" s="2" t="s">
        <v>6</v>
      </c>
    </row>
    <row r="5" spans="1:6" ht="12.75">
      <c r="A5" t="str">
        <f>Alapadatok!A6</f>
        <v>Franciaország</v>
      </c>
      <c r="B5" t="s">
        <v>34</v>
      </c>
      <c r="C5" s="4">
        <f>Alapadatok!E6</f>
        <v>64.2</v>
      </c>
      <c r="D5" t="s">
        <v>39</v>
      </c>
      <c r="E5">
        <v>2007</v>
      </c>
      <c r="F5" s="2" t="s">
        <v>6</v>
      </c>
    </row>
    <row r="6" spans="1:6" ht="12.75">
      <c r="A6" t="str">
        <f>Alapadatok!A7</f>
        <v>Ausztria</v>
      </c>
      <c r="B6" t="s">
        <v>34</v>
      </c>
      <c r="C6" s="4">
        <f>Alapadatok!E7</f>
        <v>61.1</v>
      </c>
      <c r="D6" t="s">
        <v>39</v>
      </c>
      <c r="E6">
        <v>2007</v>
      </c>
      <c r="F6" s="2" t="s">
        <v>6</v>
      </c>
    </row>
    <row r="7" spans="1:6" ht="12.75">
      <c r="A7" t="str">
        <f>Alapadatok!A8</f>
        <v>Csehország</v>
      </c>
      <c r="B7" t="s">
        <v>34</v>
      </c>
      <c r="C7" s="4">
        <f>Alapadatok!E8</f>
        <v>63.2</v>
      </c>
      <c r="D7" t="s">
        <v>39</v>
      </c>
      <c r="E7">
        <v>2007</v>
      </c>
      <c r="F7" s="2" t="s">
        <v>6</v>
      </c>
    </row>
    <row r="8" spans="1:6" ht="12.75">
      <c r="A8" t="str">
        <f>Alapadatok!A9</f>
        <v>Dánia</v>
      </c>
      <c r="B8" t="s">
        <v>34</v>
      </c>
      <c r="C8" s="4">
        <f>Alapadatok!E9</f>
        <v>67.4</v>
      </c>
      <c r="D8" t="s">
        <v>39</v>
      </c>
      <c r="E8">
        <v>2007</v>
      </c>
      <c r="F8" s="2" t="s">
        <v>6</v>
      </c>
    </row>
    <row r="9" spans="1:6" ht="12.75">
      <c r="A9" t="str">
        <f>Alapadatok!A10</f>
        <v>Hollandia</v>
      </c>
      <c r="B9" t="s">
        <v>34</v>
      </c>
      <c r="C9" s="4">
        <f>Alapadatok!E10</f>
        <v>63.7</v>
      </c>
      <c r="D9" t="s">
        <v>39</v>
      </c>
      <c r="E9">
        <v>2007</v>
      </c>
      <c r="F9" s="2" t="s">
        <v>6</v>
      </c>
    </row>
    <row r="10" spans="1:6" ht="12.75">
      <c r="A10" t="str">
        <f>Alapadatok!A11</f>
        <v>Lengyelország</v>
      </c>
      <c r="B10" t="s">
        <v>34</v>
      </c>
      <c r="C10" s="4">
        <f>Alapadatok!E11</f>
        <v>61.3</v>
      </c>
      <c r="D10" t="s">
        <v>39</v>
      </c>
      <c r="E10">
        <v>2007</v>
      </c>
      <c r="F10" s="2" t="s">
        <v>6</v>
      </c>
    </row>
    <row r="11" spans="1:6" ht="12.75">
      <c r="A11" t="str">
        <f>Alapadatok!A12</f>
        <v>Szlovákia</v>
      </c>
      <c r="B11" t="s">
        <v>34</v>
      </c>
      <c r="C11" s="4">
        <f>Alapadatok!E12</f>
        <v>55.9</v>
      </c>
      <c r="D11" t="s">
        <v>39</v>
      </c>
      <c r="E11">
        <v>2007</v>
      </c>
      <c r="F11" s="2" t="s">
        <v>6</v>
      </c>
    </row>
    <row r="12" spans="1:6" ht="12.75">
      <c r="A12" t="str">
        <f>Alapadatok!A13</f>
        <v>Norvégia</v>
      </c>
      <c r="B12" t="s">
        <v>34</v>
      </c>
      <c r="C12" s="4">
        <f>Alapadatok!E13</f>
        <v>66</v>
      </c>
      <c r="D12" t="s">
        <v>39</v>
      </c>
      <c r="E12">
        <v>2007</v>
      </c>
      <c r="F12" s="2" t="s">
        <v>6</v>
      </c>
    </row>
    <row r="13" spans="1:6" ht="12.75">
      <c r="A13" t="str">
        <f>Alapadatok!A14</f>
        <v>Ciprus</v>
      </c>
      <c r="B13" t="s">
        <v>34</v>
      </c>
      <c r="C13" s="4">
        <f>Alapadatok!E14</f>
        <v>62.7</v>
      </c>
      <c r="D13" t="s">
        <v>39</v>
      </c>
      <c r="E13">
        <v>2007</v>
      </c>
      <c r="F13" s="2" t="s">
        <v>6</v>
      </c>
    </row>
    <row r="14" spans="1:6" ht="12.75">
      <c r="A14" t="str">
        <f>Alapadatok!A15</f>
        <v>Egyesült Királyság</v>
      </c>
      <c r="B14" t="s">
        <v>34</v>
      </c>
      <c r="C14" s="4">
        <f>Alapadatok!E15</f>
        <v>66.2</v>
      </c>
      <c r="D14" t="s">
        <v>39</v>
      </c>
      <c r="E14">
        <v>2007</v>
      </c>
      <c r="F14" s="2" t="s">
        <v>6</v>
      </c>
    </row>
    <row r="15" spans="1:6" ht="12.75">
      <c r="A15" t="str">
        <f>Alapadatok!A16</f>
        <v>Spanyolország</v>
      </c>
      <c r="B15" t="s">
        <v>34</v>
      </c>
      <c r="C15" s="4">
        <f>Alapadatok!E16</f>
        <v>62.9</v>
      </c>
      <c r="D15" t="s">
        <v>39</v>
      </c>
      <c r="E15">
        <v>2007</v>
      </c>
      <c r="F15" s="2" t="s">
        <v>6</v>
      </c>
    </row>
    <row r="16" spans="1:6" ht="12.75">
      <c r="A16" t="str">
        <f>A2</f>
        <v>Magyarország</v>
      </c>
      <c r="B16" t="s">
        <v>35</v>
      </c>
      <c r="C16" s="4">
        <f>Alapadatok!E21</f>
        <v>55</v>
      </c>
      <c r="D16" t="s">
        <v>39</v>
      </c>
      <c r="E16">
        <v>2007</v>
      </c>
      <c r="F16" s="3" t="s">
        <v>9</v>
      </c>
    </row>
    <row r="17" spans="1:6" ht="12.75">
      <c r="A17" t="str">
        <f aca="true" t="shared" si="0" ref="A17:A28">A3</f>
        <v>Németország</v>
      </c>
      <c r="B17" t="s">
        <v>35</v>
      </c>
      <c r="C17" s="4">
        <f>Alapadatok!E22</f>
        <v>58.8</v>
      </c>
      <c r="D17" t="s">
        <v>39</v>
      </c>
      <c r="E17">
        <v>2007</v>
      </c>
      <c r="F17" s="3" t="s">
        <v>9</v>
      </c>
    </row>
    <row r="18" spans="1:6" ht="12.75">
      <c r="A18" t="str">
        <f t="shared" si="0"/>
        <v>Svédország</v>
      </c>
      <c r="B18" t="s">
        <v>35</v>
      </c>
      <c r="C18" s="4">
        <f>Alapadatok!E23</f>
        <v>67.5</v>
      </c>
      <c r="D18" t="s">
        <v>39</v>
      </c>
      <c r="E18">
        <v>2007</v>
      </c>
      <c r="F18" s="3" t="s">
        <v>9</v>
      </c>
    </row>
    <row r="19" spans="1:6" ht="12.75">
      <c r="A19" t="str">
        <f t="shared" si="0"/>
        <v>Franciaország</v>
      </c>
      <c r="B19" t="s">
        <v>35</v>
      </c>
      <c r="C19" s="4">
        <f>Alapadatok!E24</f>
        <v>63.1</v>
      </c>
      <c r="D19" t="s">
        <v>39</v>
      </c>
      <c r="E19">
        <v>2007</v>
      </c>
      <c r="F19" s="3" t="s">
        <v>9</v>
      </c>
    </row>
    <row r="20" spans="1:6" ht="12.75">
      <c r="A20" t="str">
        <f t="shared" si="0"/>
        <v>Ausztria</v>
      </c>
      <c r="B20" t="s">
        <v>35</v>
      </c>
      <c r="C20" s="4">
        <f>Alapadatok!E25</f>
        <v>58.4</v>
      </c>
      <c r="D20" t="s">
        <v>39</v>
      </c>
      <c r="E20">
        <v>2007</v>
      </c>
      <c r="F20" s="3" t="s">
        <v>9</v>
      </c>
    </row>
    <row r="21" spans="1:6" ht="12.75">
      <c r="A21" t="str">
        <f t="shared" si="0"/>
        <v>Csehország</v>
      </c>
      <c r="B21" t="s">
        <v>35</v>
      </c>
      <c r="C21" s="4">
        <f>Alapadatok!E26</f>
        <v>61.3</v>
      </c>
      <c r="D21" t="s">
        <v>39</v>
      </c>
      <c r="E21">
        <v>2007</v>
      </c>
      <c r="F21" s="3" t="s">
        <v>9</v>
      </c>
    </row>
    <row r="22" spans="1:6" ht="12.75">
      <c r="A22" t="str">
        <f t="shared" si="0"/>
        <v>Dánia</v>
      </c>
      <c r="B22" t="s">
        <v>35</v>
      </c>
      <c r="C22" s="4">
        <f>Alapadatok!E27</f>
        <v>67.4</v>
      </c>
      <c r="D22" t="s">
        <v>39</v>
      </c>
      <c r="E22">
        <v>2007</v>
      </c>
      <c r="F22" s="3" t="s">
        <v>9</v>
      </c>
    </row>
    <row r="23" spans="1:6" ht="12.75">
      <c r="A23" t="str">
        <f t="shared" si="0"/>
        <v>Hollandia</v>
      </c>
      <c r="B23" t="s">
        <v>35</v>
      </c>
      <c r="C23" s="4">
        <f>Alapadatok!E28</f>
        <v>65.7</v>
      </c>
      <c r="D23" t="s">
        <v>39</v>
      </c>
      <c r="E23">
        <v>2007</v>
      </c>
      <c r="F23" s="3" t="s">
        <v>9</v>
      </c>
    </row>
    <row r="24" spans="1:6" ht="12.75">
      <c r="A24" t="str">
        <f t="shared" si="0"/>
        <v>Lengyelország</v>
      </c>
      <c r="B24" t="s">
        <v>35</v>
      </c>
      <c r="C24" s="4">
        <f>Alapadatok!E29</f>
        <v>57.4</v>
      </c>
      <c r="D24" t="s">
        <v>39</v>
      </c>
      <c r="E24">
        <v>2007</v>
      </c>
      <c r="F24" s="3" t="s">
        <v>9</v>
      </c>
    </row>
    <row r="25" spans="1:6" ht="12.75">
      <c r="A25" t="str">
        <f t="shared" si="0"/>
        <v>Szlovákia</v>
      </c>
      <c r="B25" t="s">
        <v>35</v>
      </c>
      <c r="C25" s="4">
        <f>Alapadatok!E30</f>
        <v>55.4</v>
      </c>
      <c r="D25" t="s">
        <v>39</v>
      </c>
      <c r="E25">
        <v>2007</v>
      </c>
      <c r="F25" s="3" t="s">
        <v>9</v>
      </c>
    </row>
    <row r="26" spans="1:6" ht="12.75">
      <c r="A26" t="str">
        <f t="shared" si="0"/>
        <v>Norvégia</v>
      </c>
      <c r="B26" t="s">
        <v>35</v>
      </c>
      <c r="C26" s="4">
        <f>Alapadatok!E31</f>
        <v>66.4</v>
      </c>
      <c r="D26" t="s">
        <v>39</v>
      </c>
      <c r="E26">
        <v>2007</v>
      </c>
      <c r="F26" s="3" t="s">
        <v>9</v>
      </c>
    </row>
    <row r="27" spans="1:6" ht="12.75">
      <c r="A27" t="str">
        <f t="shared" si="0"/>
        <v>Ciprus</v>
      </c>
      <c r="B27" t="s">
        <v>35</v>
      </c>
      <c r="C27" s="4">
        <f>Alapadatok!E32</f>
        <v>63</v>
      </c>
      <c r="D27" t="s">
        <v>39</v>
      </c>
      <c r="E27">
        <v>2007</v>
      </c>
      <c r="F27" s="3" t="s">
        <v>9</v>
      </c>
    </row>
    <row r="28" spans="1:6" ht="12.75">
      <c r="A28" t="str">
        <f t="shared" si="0"/>
        <v>Egyesült Királyság</v>
      </c>
      <c r="B28" t="s">
        <v>35</v>
      </c>
      <c r="C28" s="4">
        <f>Alapadatok!E33</f>
        <v>64.8</v>
      </c>
      <c r="D28" t="s">
        <v>39</v>
      </c>
      <c r="E28">
        <v>2007</v>
      </c>
      <c r="F28" s="3" t="s">
        <v>9</v>
      </c>
    </row>
    <row r="29" spans="1:6" ht="12.75">
      <c r="A29" t="str">
        <f>A15</f>
        <v>Spanyolország</v>
      </c>
      <c r="B29" t="s">
        <v>35</v>
      </c>
      <c r="C29" s="4">
        <f>Alapadatok!E34</f>
        <v>63.2</v>
      </c>
      <c r="D29" t="s">
        <v>39</v>
      </c>
      <c r="E29">
        <v>2007</v>
      </c>
      <c r="F29" s="3" t="s">
        <v>9</v>
      </c>
    </row>
    <row r="30" spans="1:6" ht="12.75">
      <c r="A30" t="str">
        <f>A2</f>
        <v>Magyarország</v>
      </c>
      <c r="B30" t="s">
        <v>36</v>
      </c>
      <c r="C30" s="4">
        <f>Alapadatok!E41</f>
        <v>1.1</v>
      </c>
      <c r="D30" t="s">
        <v>40</v>
      </c>
      <c r="E30">
        <v>2007</v>
      </c>
      <c r="F30" s="3" t="s">
        <v>17</v>
      </c>
    </row>
    <row r="31" spans="1:6" ht="12.75">
      <c r="A31" t="str">
        <f aca="true" t="shared" si="1" ref="A31:A43">A3</f>
        <v>Németország</v>
      </c>
      <c r="B31" t="s">
        <v>36</v>
      </c>
      <c r="C31" s="4">
        <f>Alapadatok!E42</f>
        <v>2.6</v>
      </c>
      <c r="D31" t="s">
        <v>40</v>
      </c>
      <c r="E31">
        <v>2007</v>
      </c>
      <c r="F31" s="3" t="s">
        <v>17</v>
      </c>
    </row>
    <row r="32" spans="1:6" ht="12.75">
      <c r="A32" t="str">
        <f t="shared" si="1"/>
        <v>Svédország</v>
      </c>
      <c r="B32" t="s">
        <v>36</v>
      </c>
      <c r="C32" s="4">
        <f>Alapadatok!E43</f>
        <v>2.6</v>
      </c>
      <c r="D32" t="s">
        <v>40</v>
      </c>
      <c r="E32">
        <v>2007</v>
      </c>
      <c r="F32" s="3" t="s">
        <v>17</v>
      </c>
    </row>
    <row r="33" spans="1:6" ht="12.75">
      <c r="A33" t="str">
        <f t="shared" si="1"/>
        <v>Franciaország</v>
      </c>
      <c r="B33" t="s">
        <v>36</v>
      </c>
      <c r="C33" s="4">
        <f>Alapadatok!E44</f>
        <v>1.8</v>
      </c>
      <c r="D33" t="s">
        <v>40</v>
      </c>
      <c r="E33">
        <v>2007</v>
      </c>
      <c r="F33" s="3" t="s">
        <v>17</v>
      </c>
    </row>
    <row r="34" spans="1:6" ht="12.75">
      <c r="A34" t="str">
        <f t="shared" si="1"/>
        <v>Ausztria</v>
      </c>
      <c r="B34" t="s">
        <v>36</v>
      </c>
      <c r="C34" s="4">
        <f>Alapadatok!E45</f>
        <v>3.1</v>
      </c>
      <c r="D34" t="s">
        <v>40</v>
      </c>
      <c r="E34">
        <v>2007</v>
      </c>
      <c r="F34" s="3" t="s">
        <v>17</v>
      </c>
    </row>
    <row r="35" spans="1:6" ht="12.75">
      <c r="A35" t="str">
        <f t="shared" si="1"/>
        <v>Csehország</v>
      </c>
      <c r="B35" t="s">
        <v>36</v>
      </c>
      <c r="C35" s="4">
        <f>Alapadatok!E46</f>
        <v>5.6</v>
      </c>
      <c r="D35" t="s">
        <v>40</v>
      </c>
      <c r="E35">
        <v>2007</v>
      </c>
      <c r="F35" s="3" t="s">
        <v>17</v>
      </c>
    </row>
    <row r="36" spans="1:6" ht="12.75">
      <c r="A36" t="str">
        <f t="shared" si="1"/>
        <v>Dánia</v>
      </c>
      <c r="B36" t="s">
        <v>36</v>
      </c>
      <c r="C36" s="4">
        <f>Alapadatok!E47</f>
        <v>1.3</v>
      </c>
      <c r="D36" t="s">
        <v>40</v>
      </c>
      <c r="E36">
        <v>2007</v>
      </c>
      <c r="F36" s="3" t="s">
        <v>17</v>
      </c>
    </row>
    <row r="37" spans="1:6" ht="12.75">
      <c r="A37" t="str">
        <f t="shared" si="1"/>
        <v>Hollandia</v>
      </c>
      <c r="B37" t="s">
        <v>36</v>
      </c>
      <c r="C37" s="4">
        <f>Alapadatok!E48</f>
        <v>3.4</v>
      </c>
      <c r="D37" t="s">
        <v>40</v>
      </c>
      <c r="E37">
        <v>2007</v>
      </c>
      <c r="F37" s="3" t="s">
        <v>17</v>
      </c>
    </row>
    <row r="38" spans="1:6" ht="12.75">
      <c r="A38" t="str">
        <f t="shared" si="1"/>
        <v>Lengyelország</v>
      </c>
      <c r="B38" t="s">
        <v>36</v>
      </c>
      <c r="C38" s="4">
        <f>Alapadatok!E49</f>
        <v>6.8</v>
      </c>
      <c r="D38" t="s">
        <v>40</v>
      </c>
      <c r="E38">
        <v>2007</v>
      </c>
      <c r="F38" s="3" t="s">
        <v>17</v>
      </c>
    </row>
    <row r="39" spans="1:6" ht="12.75">
      <c r="A39" t="str">
        <f t="shared" si="1"/>
        <v>Szlovákia</v>
      </c>
      <c r="B39" t="s">
        <v>36</v>
      </c>
      <c r="C39" s="4">
        <f>Alapadatok!E50</f>
        <v>10.5</v>
      </c>
      <c r="D39" t="s">
        <v>40</v>
      </c>
      <c r="E39">
        <v>2007</v>
      </c>
      <c r="F39" s="3" t="s">
        <v>17</v>
      </c>
    </row>
    <row r="40" spans="1:6" ht="12.75">
      <c r="A40" t="str">
        <f t="shared" si="1"/>
        <v>Norvégia</v>
      </c>
      <c r="B40" t="s">
        <v>36</v>
      </c>
      <c r="C40" s="4">
        <f>Alapadatok!E51</f>
        <v>1.7</v>
      </c>
      <c r="D40" t="s">
        <v>40</v>
      </c>
      <c r="E40">
        <v>2007</v>
      </c>
      <c r="F40" s="3" t="s">
        <v>17</v>
      </c>
    </row>
    <row r="41" spans="1:6" ht="12.75">
      <c r="A41" t="str">
        <f t="shared" si="1"/>
        <v>Ciprus</v>
      </c>
      <c r="B41" t="s">
        <v>36</v>
      </c>
      <c r="C41" s="4">
        <f>Alapadatok!E52</f>
        <v>3.6</v>
      </c>
      <c r="D41" t="s">
        <v>40</v>
      </c>
      <c r="E41">
        <v>2007</v>
      </c>
      <c r="F41" s="3" t="s">
        <v>17</v>
      </c>
    </row>
    <row r="42" spans="1:6" ht="12.75">
      <c r="A42" t="str">
        <f t="shared" si="1"/>
        <v>Egyesült Királyság</v>
      </c>
      <c r="B42" t="s">
        <v>36</v>
      </c>
      <c r="C42" s="4">
        <f>Alapadatok!E53</f>
        <v>1.9</v>
      </c>
      <c r="D42" t="s">
        <v>40</v>
      </c>
      <c r="E42">
        <v>2007</v>
      </c>
      <c r="F42" s="3" t="s">
        <v>17</v>
      </c>
    </row>
    <row r="43" spans="1:6" ht="12.75">
      <c r="A43" t="str">
        <f t="shared" si="1"/>
        <v>Spanyolország</v>
      </c>
      <c r="B43" t="s">
        <v>36</v>
      </c>
      <c r="C43" s="4">
        <f>Alapadatok!E54</f>
        <v>1.7</v>
      </c>
      <c r="D43" t="s">
        <v>40</v>
      </c>
      <c r="E43">
        <v>2007</v>
      </c>
      <c r="F43" s="3" t="s">
        <v>17</v>
      </c>
    </row>
    <row r="44" spans="1:6" ht="12.75">
      <c r="A44" t="str">
        <f>A2</f>
        <v>Magyarország</v>
      </c>
      <c r="B44" t="s">
        <v>41</v>
      </c>
      <c r="C44" s="4">
        <f>Alapadatok!E59</f>
        <v>22.3</v>
      </c>
      <c r="D44" t="s">
        <v>40</v>
      </c>
      <c r="E44">
        <v>2007</v>
      </c>
      <c r="F44" s="3" t="s">
        <v>12</v>
      </c>
    </row>
    <row r="45" spans="1:6" ht="12.75">
      <c r="A45" t="str">
        <f aca="true" t="shared" si="2" ref="A45:A57">A3</f>
        <v>Németország</v>
      </c>
      <c r="B45" t="s">
        <v>41</v>
      </c>
      <c r="C45" s="4">
        <f>Alapadatok!E60</f>
        <v>27.7</v>
      </c>
      <c r="D45" t="s">
        <v>40</v>
      </c>
      <c r="E45">
        <v>2007</v>
      </c>
      <c r="F45" s="3" t="s">
        <v>56</v>
      </c>
    </row>
    <row r="46" spans="1:6" ht="12.75">
      <c r="A46" t="str">
        <f t="shared" si="2"/>
        <v>Svédország</v>
      </c>
      <c r="B46" t="s">
        <v>41</v>
      </c>
      <c r="C46" s="4">
        <f>Alapadatok!E61</f>
        <v>29.7</v>
      </c>
      <c r="D46" t="s">
        <v>40</v>
      </c>
      <c r="E46">
        <v>2007</v>
      </c>
      <c r="F46" s="3" t="s">
        <v>57</v>
      </c>
    </row>
    <row r="47" spans="1:6" ht="12.75">
      <c r="A47" t="str">
        <f t="shared" si="2"/>
        <v>Franciaország</v>
      </c>
      <c r="B47" t="s">
        <v>41</v>
      </c>
      <c r="C47" s="4">
        <f>Alapadatok!E62</f>
        <v>30.5</v>
      </c>
      <c r="D47" t="s">
        <v>40</v>
      </c>
      <c r="E47">
        <v>2007</v>
      </c>
      <c r="F47" s="3" t="s">
        <v>58</v>
      </c>
    </row>
    <row r="48" spans="1:6" ht="12.75">
      <c r="A48" t="str">
        <f t="shared" si="2"/>
        <v>Ausztria</v>
      </c>
      <c r="B48" t="s">
        <v>41</v>
      </c>
      <c r="C48" s="4">
        <f>Alapadatok!E63</f>
        <v>28</v>
      </c>
      <c r="D48" t="s">
        <v>40</v>
      </c>
      <c r="E48">
        <v>2007</v>
      </c>
      <c r="F48" s="3" t="s">
        <v>59</v>
      </c>
    </row>
    <row r="49" spans="1:6" ht="12.75">
      <c r="A49" t="str">
        <f t="shared" si="2"/>
        <v>Csehország</v>
      </c>
      <c r="B49" t="s">
        <v>41</v>
      </c>
      <c r="C49" s="4">
        <f>Alapadatok!E64</f>
        <v>18.6</v>
      </c>
      <c r="D49" t="s">
        <v>40</v>
      </c>
      <c r="E49">
        <v>2007</v>
      </c>
      <c r="F49" s="3" t="s">
        <v>60</v>
      </c>
    </row>
    <row r="50" spans="1:6" ht="12.75">
      <c r="A50" t="str">
        <f t="shared" si="2"/>
        <v>Dánia</v>
      </c>
      <c r="B50" t="s">
        <v>41</v>
      </c>
      <c r="C50" s="4">
        <f>Alapadatok!E65</f>
        <v>28.9</v>
      </c>
      <c r="D50" t="s">
        <v>40</v>
      </c>
      <c r="E50">
        <v>2007</v>
      </c>
      <c r="F50" s="3" t="s">
        <v>61</v>
      </c>
    </row>
    <row r="51" spans="1:6" ht="12.75">
      <c r="A51" t="str">
        <f t="shared" si="2"/>
        <v>Hollandia</v>
      </c>
      <c r="B51" t="s">
        <v>41</v>
      </c>
      <c r="C51" s="4">
        <f>Alapadatok!E66</f>
        <v>28.4</v>
      </c>
      <c r="D51" t="s">
        <v>40</v>
      </c>
      <c r="E51">
        <v>2007</v>
      </c>
      <c r="F51" s="3" t="s">
        <v>62</v>
      </c>
    </row>
    <row r="52" spans="1:6" ht="12.75">
      <c r="A52" t="str">
        <f t="shared" si="2"/>
        <v>Lengyelország</v>
      </c>
      <c r="B52" t="s">
        <v>41</v>
      </c>
      <c r="C52" s="4">
        <f>Alapadatok!E67</f>
        <v>18.1</v>
      </c>
      <c r="D52" t="s">
        <v>40</v>
      </c>
      <c r="E52">
        <v>2007</v>
      </c>
      <c r="F52" s="3" t="s">
        <v>63</v>
      </c>
    </row>
    <row r="53" spans="1:6" ht="12.75">
      <c r="A53" t="str">
        <f t="shared" si="2"/>
        <v>Szlovákia</v>
      </c>
      <c r="B53" t="s">
        <v>41</v>
      </c>
      <c r="C53" s="4">
        <f>Alapadatok!E68</f>
        <v>16</v>
      </c>
      <c r="D53" t="s">
        <v>40</v>
      </c>
      <c r="E53">
        <v>2007</v>
      </c>
      <c r="F53" s="3" t="s">
        <v>64</v>
      </c>
    </row>
    <row r="54" spans="1:6" ht="12.75">
      <c r="A54" t="str">
        <f t="shared" si="2"/>
        <v>Norvégia</v>
      </c>
      <c r="B54" t="s">
        <v>41</v>
      </c>
      <c r="C54" s="4">
        <f>Alapadatok!E69</f>
        <v>22.8</v>
      </c>
      <c r="D54" t="s">
        <v>40</v>
      </c>
      <c r="E54">
        <v>2007</v>
      </c>
      <c r="F54" s="3" t="s">
        <v>65</v>
      </c>
    </row>
    <row r="55" spans="1:6" ht="12.75">
      <c r="A55" t="str">
        <f t="shared" si="2"/>
        <v>Ciprus</v>
      </c>
      <c r="B55" t="s">
        <v>41</v>
      </c>
      <c r="C55" s="4">
        <f>Alapadatok!E70</f>
        <v>18.5</v>
      </c>
      <c r="D55" t="s">
        <v>40</v>
      </c>
      <c r="E55">
        <v>2007</v>
      </c>
      <c r="F55" s="3" t="s">
        <v>66</v>
      </c>
    </row>
    <row r="56" spans="1:6" ht="12.75">
      <c r="A56" t="str">
        <f t="shared" si="2"/>
        <v>Egyesült Királyság</v>
      </c>
      <c r="B56" t="s">
        <v>41</v>
      </c>
      <c r="C56" s="4">
        <f>Alapadatok!E71</f>
        <v>25.3</v>
      </c>
      <c r="D56" t="s">
        <v>40</v>
      </c>
      <c r="E56">
        <v>2007</v>
      </c>
      <c r="F56" s="3" t="s">
        <v>67</v>
      </c>
    </row>
    <row r="57" spans="1:6" ht="12.75">
      <c r="A57" t="str">
        <f t="shared" si="2"/>
        <v>Spanyolország</v>
      </c>
      <c r="B57" t="s">
        <v>41</v>
      </c>
      <c r="C57" s="4">
        <f>Alapadatok!E72</f>
        <v>21</v>
      </c>
      <c r="D57" t="s">
        <v>40</v>
      </c>
      <c r="E57">
        <v>2007</v>
      </c>
      <c r="F57" s="3" t="s">
        <v>68</v>
      </c>
    </row>
    <row r="58" spans="1:6" ht="12.75">
      <c r="A58" t="str">
        <f>A2</f>
        <v>Magyarország</v>
      </c>
      <c r="B58" t="s">
        <v>42</v>
      </c>
      <c r="C58" s="4">
        <f>Alapadatok!E77</f>
        <v>713.3</v>
      </c>
      <c r="D58" t="s">
        <v>39</v>
      </c>
      <c r="E58">
        <v>2007</v>
      </c>
      <c r="F58" s="3" t="s">
        <v>13</v>
      </c>
    </row>
    <row r="59" spans="1:6" ht="12.75">
      <c r="A59" t="str">
        <f aca="true" t="shared" si="3" ref="A59:A71">A3</f>
        <v>Németország</v>
      </c>
      <c r="B59" t="s">
        <v>42</v>
      </c>
      <c r="C59" s="4">
        <f>Alapadatok!E78</f>
        <v>858.6166666666667</v>
      </c>
      <c r="D59" t="s">
        <v>39</v>
      </c>
      <c r="E59">
        <v>2007</v>
      </c>
      <c r="F59" s="3" t="s">
        <v>69</v>
      </c>
    </row>
    <row r="60" spans="1:6" ht="12.75">
      <c r="A60" t="str">
        <f t="shared" si="3"/>
        <v>Svédország</v>
      </c>
      <c r="B60" t="s">
        <v>42</v>
      </c>
      <c r="C60" s="4">
        <f>Alapadatok!E79</f>
        <v>300.0833333333334</v>
      </c>
      <c r="D60" t="s">
        <v>39</v>
      </c>
      <c r="E60">
        <v>2007</v>
      </c>
      <c r="F60" s="3" t="s">
        <v>70</v>
      </c>
    </row>
    <row r="61" spans="1:6" ht="12.75">
      <c r="A61" t="str">
        <f t="shared" si="3"/>
        <v>Franciaország</v>
      </c>
      <c r="B61" t="s">
        <v>42</v>
      </c>
      <c r="C61" s="4">
        <f>Alapadatok!E80</f>
        <v>707.5</v>
      </c>
      <c r="D61" t="s">
        <v>39</v>
      </c>
      <c r="E61">
        <v>2007</v>
      </c>
      <c r="F61" s="3" t="s">
        <v>71</v>
      </c>
    </row>
    <row r="62" spans="1:6" ht="12.75">
      <c r="A62" t="str">
        <f t="shared" si="3"/>
        <v>Ausztria</v>
      </c>
      <c r="B62" t="s">
        <v>42</v>
      </c>
      <c r="C62" s="4">
        <f>Alapadatok!E81</f>
        <v>777.9</v>
      </c>
      <c r="D62" t="s">
        <v>39</v>
      </c>
      <c r="E62">
        <v>2007</v>
      </c>
      <c r="F62" s="3" t="s">
        <v>72</v>
      </c>
    </row>
    <row r="63" spans="1:6" ht="12.75">
      <c r="A63" t="str">
        <f t="shared" si="3"/>
        <v>Csehország</v>
      </c>
      <c r="B63" t="s">
        <v>42</v>
      </c>
      <c r="C63" s="4">
        <f>Alapadatok!E82</f>
        <v>727.3</v>
      </c>
      <c r="D63" t="s">
        <v>39</v>
      </c>
      <c r="E63">
        <v>2007</v>
      </c>
      <c r="F63" s="3" t="s">
        <v>73</v>
      </c>
    </row>
    <row r="64" spans="1:6" ht="12.75">
      <c r="A64" t="str">
        <f t="shared" si="3"/>
        <v>Dánia</v>
      </c>
      <c r="B64" t="s">
        <v>42</v>
      </c>
      <c r="C64" s="4">
        <f>Alapadatok!E83</f>
        <v>340.8</v>
      </c>
      <c r="D64" t="s">
        <v>39</v>
      </c>
      <c r="E64">
        <v>2007</v>
      </c>
      <c r="F64" s="3" t="s">
        <v>74</v>
      </c>
    </row>
    <row r="65" spans="1:6" ht="12.75">
      <c r="A65" t="str">
        <f t="shared" si="3"/>
        <v>Hollandia</v>
      </c>
      <c r="B65" t="s">
        <v>42</v>
      </c>
      <c r="C65" s="4">
        <f>Alapadatok!E84</f>
        <v>481.5</v>
      </c>
      <c r="D65" t="s">
        <v>39</v>
      </c>
      <c r="E65">
        <v>2007</v>
      </c>
      <c r="F65" s="3" t="s">
        <v>75</v>
      </c>
    </row>
    <row r="66" spans="1:6" ht="12.75">
      <c r="A66" t="str">
        <f t="shared" si="3"/>
        <v>Lengyelország</v>
      </c>
      <c r="B66" t="s">
        <v>42</v>
      </c>
      <c r="C66" s="4">
        <f>Alapadatok!E85</f>
        <v>642.5</v>
      </c>
      <c r="D66" t="s">
        <v>39</v>
      </c>
      <c r="E66">
        <v>2007</v>
      </c>
      <c r="F66" s="3" t="s">
        <v>76</v>
      </c>
    </row>
    <row r="67" spans="1:6" ht="12.75">
      <c r="A67" t="str">
        <f t="shared" si="3"/>
        <v>Szlovákia</v>
      </c>
      <c r="B67" t="s">
        <v>42</v>
      </c>
      <c r="C67" s="4">
        <f>Alapadatok!E86</f>
        <v>674.9</v>
      </c>
      <c r="D67" t="s">
        <v>39</v>
      </c>
      <c r="E67">
        <v>2007</v>
      </c>
      <c r="F67" s="3" t="s">
        <v>77</v>
      </c>
    </row>
    <row r="68" spans="1:6" ht="12.75">
      <c r="A68" t="str">
        <f t="shared" si="3"/>
        <v>Norvégia</v>
      </c>
      <c r="B68" t="s">
        <v>42</v>
      </c>
      <c r="C68" s="4">
        <f>Alapadatok!E87</f>
        <v>382.3</v>
      </c>
      <c r="D68" t="s">
        <v>39</v>
      </c>
      <c r="E68">
        <v>2007</v>
      </c>
      <c r="F68" s="3" t="s">
        <v>78</v>
      </c>
    </row>
    <row r="69" spans="1:6" ht="12.75">
      <c r="A69" t="str">
        <f t="shared" si="3"/>
        <v>Ciprus</v>
      </c>
      <c r="B69" t="s">
        <v>42</v>
      </c>
      <c r="C69" s="4">
        <f>Alapadatok!E88</f>
        <v>375.5</v>
      </c>
      <c r="D69" t="s">
        <v>39</v>
      </c>
      <c r="E69">
        <v>2007</v>
      </c>
      <c r="F69" s="3" t="s">
        <v>79</v>
      </c>
    </row>
    <row r="70" spans="1:6" ht="12.75">
      <c r="A70" t="str">
        <f t="shared" si="3"/>
        <v>Egyesült Királyság</v>
      </c>
      <c r="B70" t="s">
        <v>42</v>
      </c>
      <c r="C70" s="4">
        <f>Alapadatok!E89</f>
        <v>341.8</v>
      </c>
      <c r="D70" t="s">
        <v>39</v>
      </c>
      <c r="E70">
        <v>2007</v>
      </c>
      <c r="F70" s="3" t="s">
        <v>80</v>
      </c>
    </row>
    <row r="71" spans="1:6" ht="12.75">
      <c r="A71" t="str">
        <f t="shared" si="3"/>
        <v>Spanyolország</v>
      </c>
      <c r="B71" t="s">
        <v>42</v>
      </c>
      <c r="C71" s="4">
        <f>Alapadatok!E90</f>
        <v>330.2</v>
      </c>
      <c r="D71" t="s">
        <v>39</v>
      </c>
      <c r="E71">
        <v>2007</v>
      </c>
      <c r="F71" s="3" t="s">
        <v>81</v>
      </c>
    </row>
    <row r="72" spans="1:6" ht="12.75">
      <c r="A72" t="str">
        <f>A2</f>
        <v>Magyarország</v>
      </c>
      <c r="B72" t="s">
        <v>37</v>
      </c>
      <c r="C72" s="4">
        <f>Alapadatok!E95</f>
        <v>7.4</v>
      </c>
      <c r="D72" t="s">
        <v>40</v>
      </c>
      <c r="E72">
        <v>2007</v>
      </c>
      <c r="F72" s="3" t="s">
        <v>15</v>
      </c>
    </row>
    <row r="73" spans="1:6" ht="12.75">
      <c r="A73" t="str">
        <f aca="true" t="shared" si="4" ref="A73:A85">A3</f>
        <v>Németország</v>
      </c>
      <c r="B73" t="s">
        <v>37</v>
      </c>
      <c r="C73" s="4">
        <f>Alapadatok!E96</f>
        <v>8.4</v>
      </c>
      <c r="D73" t="s">
        <v>40</v>
      </c>
      <c r="E73">
        <v>2007</v>
      </c>
      <c r="F73" s="3" t="s">
        <v>43</v>
      </c>
    </row>
    <row r="74" spans="1:6" ht="12.75">
      <c r="A74" t="str">
        <f t="shared" si="4"/>
        <v>Svédország</v>
      </c>
      <c r="B74" t="s">
        <v>37</v>
      </c>
      <c r="C74" s="4">
        <f>Alapadatok!E97</f>
        <v>6.1</v>
      </c>
      <c r="D74" t="s">
        <v>40</v>
      </c>
      <c r="E74">
        <v>2007</v>
      </c>
      <c r="F74" s="3" t="s">
        <v>44</v>
      </c>
    </row>
    <row r="75" spans="1:6" ht="12.75">
      <c r="A75" t="str">
        <f t="shared" si="4"/>
        <v>Franciaország</v>
      </c>
      <c r="B75" t="s">
        <v>37</v>
      </c>
      <c r="C75" s="4">
        <f>Alapadatok!E98</f>
        <v>8.4</v>
      </c>
      <c r="D75" t="s">
        <v>40</v>
      </c>
      <c r="E75">
        <v>2007</v>
      </c>
      <c r="F75" s="3" t="s">
        <v>45</v>
      </c>
    </row>
    <row r="76" spans="1:6" ht="12.75">
      <c r="A76" t="str">
        <f t="shared" si="4"/>
        <v>Ausztria</v>
      </c>
      <c r="B76" t="s">
        <v>37</v>
      </c>
      <c r="C76" s="4">
        <f>Alapadatok!E99</f>
        <v>4.4</v>
      </c>
      <c r="D76" t="s">
        <v>40</v>
      </c>
      <c r="E76">
        <v>2007</v>
      </c>
      <c r="F76" s="3" t="s">
        <v>46</v>
      </c>
    </row>
    <row r="77" spans="1:6" ht="12.75">
      <c r="A77" t="str">
        <f t="shared" si="4"/>
        <v>Csehország</v>
      </c>
      <c r="B77" t="s">
        <v>37</v>
      </c>
      <c r="C77" s="4">
        <f>Alapadatok!E100</f>
        <v>5.3</v>
      </c>
      <c r="D77" t="s">
        <v>40</v>
      </c>
      <c r="E77">
        <v>2007</v>
      </c>
      <c r="F77" s="3" t="s">
        <v>47</v>
      </c>
    </row>
    <row r="78" spans="1:6" ht="12.75">
      <c r="A78" t="str">
        <f t="shared" si="4"/>
        <v>Dánia</v>
      </c>
      <c r="B78" t="s">
        <v>37</v>
      </c>
      <c r="C78" s="4">
        <f>Alapadatok!E101</f>
        <v>3.8</v>
      </c>
      <c r="D78" t="s">
        <v>40</v>
      </c>
      <c r="E78">
        <v>2007</v>
      </c>
      <c r="F78" s="3" t="s">
        <v>48</v>
      </c>
    </row>
    <row r="79" spans="1:6" ht="12.75">
      <c r="A79" t="str">
        <f t="shared" si="4"/>
        <v>Hollandia</v>
      </c>
      <c r="B79" t="s">
        <v>37</v>
      </c>
      <c r="C79" s="4">
        <f>Alapadatok!E102</f>
        <v>3.2</v>
      </c>
      <c r="D79" t="s">
        <v>40</v>
      </c>
      <c r="E79">
        <v>2007</v>
      </c>
      <c r="F79" s="3" t="s">
        <v>49</v>
      </c>
    </row>
    <row r="80" spans="1:6" ht="12.75">
      <c r="A80" t="str">
        <f t="shared" si="4"/>
        <v>Lengyelország</v>
      </c>
      <c r="B80" t="s">
        <v>37</v>
      </c>
      <c r="C80" s="4">
        <f>Alapadatok!E103</f>
        <v>9.6</v>
      </c>
      <c r="D80" t="s">
        <v>40</v>
      </c>
      <c r="E80">
        <v>2007</v>
      </c>
      <c r="F80" s="3" t="s">
        <v>50</v>
      </c>
    </row>
    <row r="81" spans="1:6" ht="12.75">
      <c r="A81" t="str">
        <f t="shared" si="4"/>
        <v>Szlovákia</v>
      </c>
      <c r="B81" t="s">
        <v>37</v>
      </c>
      <c r="C81" s="4">
        <f>Alapadatok!E104</f>
        <v>11.1</v>
      </c>
      <c r="D81" t="s">
        <v>40</v>
      </c>
      <c r="E81">
        <v>2007</v>
      </c>
      <c r="F81" s="3" t="s">
        <v>51</v>
      </c>
    </row>
    <row r="82" spans="1:6" ht="12.75">
      <c r="A82" t="str">
        <f t="shared" si="4"/>
        <v>Norvégia</v>
      </c>
      <c r="B82" t="s">
        <v>37</v>
      </c>
      <c r="C82" s="4">
        <f>Alapadatok!E105</f>
        <v>2.5</v>
      </c>
      <c r="D82" t="s">
        <v>40</v>
      </c>
      <c r="E82">
        <v>2007</v>
      </c>
      <c r="F82" s="3" t="s">
        <v>52</v>
      </c>
    </row>
    <row r="83" spans="1:6" ht="12.75">
      <c r="A83" t="str">
        <f t="shared" si="4"/>
        <v>Ciprus</v>
      </c>
      <c r="B83" t="s">
        <v>37</v>
      </c>
      <c r="C83" s="4">
        <f>Alapadatok!E106</f>
        <v>4</v>
      </c>
      <c r="D83" t="s">
        <v>40</v>
      </c>
      <c r="E83">
        <v>2007</v>
      </c>
      <c r="F83" s="3" t="s">
        <v>53</v>
      </c>
    </row>
    <row r="84" spans="1:6" ht="12.75">
      <c r="A84" t="str">
        <f t="shared" si="4"/>
        <v>Egyesült Királyság</v>
      </c>
      <c r="B84" t="s">
        <v>37</v>
      </c>
      <c r="C84" s="4">
        <f>Alapadatok!E107</f>
        <v>5.3</v>
      </c>
      <c r="D84" t="s">
        <v>40</v>
      </c>
      <c r="E84">
        <v>2007</v>
      </c>
      <c r="F84" s="3" t="s">
        <v>54</v>
      </c>
    </row>
    <row r="85" spans="1:6" ht="12.75">
      <c r="A85" t="str">
        <f t="shared" si="4"/>
        <v>Spanyolország</v>
      </c>
      <c r="B85" t="s">
        <v>37</v>
      </c>
      <c r="C85" s="4">
        <f>Alapadatok!E108</f>
        <v>8.3</v>
      </c>
      <c r="D85" t="s">
        <v>40</v>
      </c>
      <c r="E85">
        <v>2007</v>
      </c>
      <c r="F85" s="3" t="s">
        <v>55</v>
      </c>
    </row>
    <row r="86" spans="1:6" ht="12.75">
      <c r="A86" t="str">
        <f>A2</f>
        <v>Magyarország</v>
      </c>
      <c r="B86" t="s">
        <v>38</v>
      </c>
      <c r="C86" s="4">
        <f>Alapadatok!E113</f>
        <v>962.6</v>
      </c>
      <c r="D86" t="s">
        <v>91</v>
      </c>
      <c r="E86">
        <v>2007</v>
      </c>
      <c r="F86" s="3" t="s">
        <v>92</v>
      </c>
    </row>
    <row r="87" spans="1:6" ht="12.75">
      <c r="A87" t="str">
        <f aca="true" t="shared" si="5" ref="A87:A98">A3</f>
        <v>Németország</v>
      </c>
      <c r="B87" t="s">
        <v>38</v>
      </c>
      <c r="C87" s="4">
        <f>Alapadatok!E114</f>
        <v>585</v>
      </c>
      <c r="D87" t="s">
        <v>91</v>
      </c>
      <c r="E87">
        <v>2007</v>
      </c>
      <c r="F87" s="3" t="s">
        <v>92</v>
      </c>
    </row>
    <row r="88" spans="1:6" ht="12.75">
      <c r="A88" t="str">
        <f t="shared" si="5"/>
        <v>Svédország</v>
      </c>
      <c r="B88" t="s">
        <v>38</v>
      </c>
      <c r="C88" s="4">
        <f>Alapadatok!E115</f>
        <v>541.3</v>
      </c>
      <c r="D88" t="s">
        <v>91</v>
      </c>
      <c r="E88">
        <v>2007</v>
      </c>
      <c r="F88" s="3" t="s">
        <v>92</v>
      </c>
    </row>
    <row r="89" spans="1:6" ht="12.75">
      <c r="A89" t="str">
        <f t="shared" si="5"/>
        <v>Franciaország</v>
      </c>
      <c r="B89" t="s">
        <v>38</v>
      </c>
      <c r="C89" s="4">
        <f>Alapadatok!E116</f>
        <v>523.4</v>
      </c>
      <c r="D89" t="s">
        <v>91</v>
      </c>
      <c r="E89">
        <v>2007</v>
      </c>
      <c r="F89" s="3" t="s">
        <v>92</v>
      </c>
    </row>
    <row r="90" spans="1:6" ht="12.75">
      <c r="A90" t="str">
        <f t="shared" si="5"/>
        <v>Ausztria</v>
      </c>
      <c r="B90" t="s">
        <v>38</v>
      </c>
      <c r="C90" s="4">
        <f>Alapadatok!E117</f>
        <v>562.1</v>
      </c>
      <c r="D90" t="s">
        <v>91</v>
      </c>
      <c r="E90">
        <v>2007</v>
      </c>
      <c r="F90" s="3" t="s">
        <v>92</v>
      </c>
    </row>
    <row r="91" spans="1:6" ht="12.75">
      <c r="A91" t="str">
        <f t="shared" si="5"/>
        <v>Csehország</v>
      </c>
      <c r="B91" t="s">
        <v>38</v>
      </c>
      <c r="C91" s="4">
        <f>Alapadatok!E118</f>
        <v>767.1</v>
      </c>
      <c r="D91" t="s">
        <v>91</v>
      </c>
      <c r="E91">
        <v>2007</v>
      </c>
      <c r="F91" s="3" t="s">
        <v>92</v>
      </c>
    </row>
    <row r="92" spans="1:6" ht="12.75">
      <c r="A92" t="str">
        <f t="shared" si="5"/>
        <v>Dánia</v>
      </c>
      <c r="B92" t="s">
        <v>38</v>
      </c>
      <c r="C92" s="4">
        <f>Alapadatok!E119</f>
        <v>703.65</v>
      </c>
      <c r="D92" t="s">
        <v>91</v>
      </c>
      <c r="E92">
        <v>2007</v>
      </c>
      <c r="F92" s="3" t="s">
        <v>92</v>
      </c>
    </row>
    <row r="93" spans="1:6" ht="12.75">
      <c r="A93" t="str">
        <f t="shared" si="5"/>
        <v>Hollandia</v>
      </c>
      <c r="B93" t="s">
        <v>38</v>
      </c>
      <c r="C93" s="4">
        <f>Alapadatok!E120</f>
        <v>571.9</v>
      </c>
      <c r="D93" t="s">
        <v>91</v>
      </c>
      <c r="E93">
        <v>2007</v>
      </c>
      <c r="F93" s="3" t="s">
        <v>92</v>
      </c>
    </row>
    <row r="94" spans="1:6" ht="12.75">
      <c r="A94" t="str">
        <f t="shared" si="5"/>
        <v>Lengyelország</v>
      </c>
      <c r="B94" t="s">
        <v>38</v>
      </c>
      <c r="C94" s="4">
        <f>Alapadatok!E121</f>
        <v>836.3</v>
      </c>
      <c r="D94" t="s">
        <v>91</v>
      </c>
      <c r="E94">
        <v>2007</v>
      </c>
      <c r="F94" s="3" t="s">
        <v>92</v>
      </c>
    </row>
    <row r="95" spans="1:6" ht="12.75">
      <c r="A95" t="str">
        <f t="shared" si="5"/>
        <v>Szlovákia</v>
      </c>
      <c r="B95" t="s">
        <v>38</v>
      </c>
      <c r="C95" s="4">
        <f>Alapadatok!E122</f>
        <v>917</v>
      </c>
      <c r="D95" t="s">
        <v>91</v>
      </c>
      <c r="E95">
        <v>2007</v>
      </c>
      <c r="F95" s="3" t="s">
        <v>92</v>
      </c>
    </row>
    <row r="96" spans="1:6" ht="12.75">
      <c r="A96" t="str">
        <f t="shared" si="5"/>
        <v>Norvégia</v>
      </c>
      <c r="B96" t="s">
        <v>38</v>
      </c>
      <c r="C96" s="4">
        <f>Alapadatok!E123</f>
        <v>559.1</v>
      </c>
      <c r="D96" t="s">
        <v>91</v>
      </c>
      <c r="E96">
        <v>2007</v>
      </c>
      <c r="F96" s="3" t="s">
        <v>92</v>
      </c>
    </row>
    <row r="97" spans="1:6" ht="12.75">
      <c r="A97" t="str">
        <f t="shared" si="5"/>
        <v>Ciprus</v>
      </c>
      <c r="B97" t="s">
        <v>38</v>
      </c>
      <c r="C97" s="4">
        <f>Alapadatok!E124</f>
        <v>583.2</v>
      </c>
      <c r="D97" t="s">
        <v>91</v>
      </c>
      <c r="E97">
        <v>2007</v>
      </c>
      <c r="F97" s="3" t="s">
        <v>92</v>
      </c>
    </row>
    <row r="98" spans="1:6" ht="12.75">
      <c r="A98" t="str">
        <f t="shared" si="5"/>
        <v>Egyesült Királyság</v>
      </c>
      <c r="B98" t="s">
        <v>38</v>
      </c>
      <c r="C98" s="4">
        <f>Alapadatok!E125</f>
        <v>598.7</v>
      </c>
      <c r="D98" t="s">
        <v>91</v>
      </c>
      <c r="E98">
        <v>2007</v>
      </c>
      <c r="F98" s="3" t="s">
        <v>92</v>
      </c>
    </row>
    <row r="99" spans="1:6" ht="12.75">
      <c r="A99" t="str">
        <f>A15</f>
        <v>Spanyolország</v>
      </c>
      <c r="B99" t="s">
        <v>38</v>
      </c>
      <c r="C99" s="4">
        <f>Alapadatok!E126</f>
        <v>534.2</v>
      </c>
      <c r="D99" t="s">
        <v>91</v>
      </c>
      <c r="E99">
        <v>2007</v>
      </c>
      <c r="F99" s="3" t="s">
        <v>92</v>
      </c>
    </row>
  </sheetData>
  <sheetProtection/>
  <hyperlinks>
    <hyperlink ref="F2" r:id="rId1" display="http://translate.googleusercontent.com/translate_c?hl=hu&amp;ie=UTF-8&amp;sl=en&amp;tl=hu&amp;u=http://epp.eurostat.ec.europa.eu/tgm/table.do%3Ftab%3Dtable%26init%3D1%26plugin%3D1%26language%3Den%26pcode%3Dtsien180&amp;prev=_t&amp;rurl=translate.google.hu&amp;usg=ALkJrhhbuuLuli2zaIx"/>
    <hyperlink ref="F3:F15" r:id="rId2" display="http://translate.googleusercontent.com/translate_c?hl=hu&amp;ie=UTF-8&amp;sl=en&amp;tl=hu&amp;u=http://epp.eurostat.ec.europa.eu/tgm/table.do%3Ftab%3Dtable%26init%3D1%26plugin%3D1%26language%3Den%26pcode%3Dtsien180&amp;prev=_t&amp;rurl=translate.google.hu&amp;usg=ALkJrhhbuuLuli2zaIx"/>
    <hyperlink ref="F16" r:id="rId3" display="http://epp.eurostat.ec.europa.eu/tgm/refreshTableAction.do;jsessionid=9ea7974b30ea3ba1ed8c045a40078c6beaa76380be7a.e34SbxiOchiKc40LbNmLahiKb3mOe0?tab=table&amp;plugin=1&amp;pcode=tsien180&amp;language=en"/>
    <hyperlink ref="F17:F29" r:id="rId4" display="http://epp.eurostat.ec.europa.eu/tgm/refreshTableAction.do;jsessionid=9ea7974b30ea3ba1ed8c045a40078c6beaa76380be7a.e34SbxiOchiKc40LbNmLahiKb3mOe0?tab=table&amp;plugin=1&amp;pcode=tsien180&amp;language=en"/>
    <hyperlink ref="F30" r:id="rId5" display="http://translate.googleusercontent.com/translate_c?hl=hu&amp;ie=UTF-8&amp;sl=en&amp;tl=hu&amp;u=http://epp.eurostat.ec.europa.eu/tgm/table.do%3Ftab%3Dtable%26init%3D1%26plugin%3D1%26language%3Den%26pcode%3Dtsdec100&amp;prev=_t&amp;rurl=translate.google.hu&amp;usg=ALkJrhhDbQbxrroqr-d"/>
    <hyperlink ref="F31:F43" r:id="rId6" display="http://translate.googleusercontent.com/translate_c?hl=hu&amp;ie=UTF-8&amp;sl=en&amp;tl=hu&amp;u=http://epp.eurostat.ec.europa.eu/tgm/table.do%3Ftab%3Dtable%26init%3D1%26plugin%3D1%26language%3Den%26pcode%3Dtsdec100&amp;prev=_t&amp;rurl=translate.google.hu&amp;usg=ALkJrhhDbQbxrroqr-d"/>
    <hyperlink ref="F44" r:id="rId7" display="http://epp.eurostat.ec.europa.eu/tgm/table.do?tab=table&amp;init=1&amp;language=en&amp;pcode=tps00098&amp;plugin=1"/>
    <hyperlink ref="F45:F57" r:id="rId8" display="http://epp.eurostat.ec.europa.eu/tgm/table.do?tab=table&amp;init=1&amp;language=en&amp;pcode=tps00098&amp;plugin=1"/>
    <hyperlink ref="F58" r:id="rId9" display="http://epp.eurostat.ec.europa.eu/tgm/table.do?tab=table&amp;init=1&amp;language=en&amp;pcode=tps00046&amp;plugin=1"/>
    <hyperlink ref="F59:F71" r:id="rId10" display="http://epp.eurostat.ec.europa.eu/tgm/table.do?tab=table&amp;init=1&amp;language=en&amp;pcode=tps00046&amp;plugin=1"/>
    <hyperlink ref="F72" r:id="rId11" display="http://epp.eurostat.ec.europa.eu/tgm/table.do?tab=table&amp;init=1&amp;language=en&amp;pcode=tsiem110&amp;plugin=1"/>
    <hyperlink ref="F73:F85" r:id="rId12" display="http://epp.eurostat.ec.europa.eu/tgm/table.do?tab=table&amp;init=1&amp;language=en&amp;pcode=tsiem110&amp;plugin=1"/>
  </hyperlinks>
  <printOptions/>
  <pageMargins left="0.75" right="0.75" top="1" bottom="1" header="0.5" footer="0.5"/>
  <pageSetup horizontalDpi="300" verticalDpi="300" orientation="portrait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52">
      <selection activeCell="A63" sqref="A63:L63"/>
    </sheetView>
  </sheetViews>
  <sheetFormatPr defaultColWidth="9.140625" defaultRowHeight="12.75"/>
  <cols>
    <col min="1" max="1" width="16.7109375" style="0" bestFit="1" customWidth="1"/>
    <col min="2" max="2" width="14.00390625" style="0" customWidth="1"/>
    <col min="3" max="3" width="15.28125" style="0" customWidth="1"/>
    <col min="4" max="4" width="15.57421875" style="0" customWidth="1"/>
    <col min="5" max="5" width="14.8515625" style="0" customWidth="1"/>
    <col min="6" max="6" width="17.140625" style="0" customWidth="1"/>
    <col min="7" max="7" width="15.8515625" style="0" customWidth="1"/>
    <col min="8" max="8" width="15.7109375" style="0" bestFit="1" customWidth="1"/>
    <col min="9" max="9" width="12.00390625" style="0" customWidth="1"/>
    <col min="10" max="10" width="13.57421875" style="0" customWidth="1"/>
    <col min="11" max="12" width="15.140625" style="0" customWidth="1"/>
    <col min="13" max="13" width="16.00390625" style="0" customWidth="1"/>
    <col min="14" max="14" width="15.57421875" style="0" customWidth="1"/>
  </cols>
  <sheetData>
    <row r="1" spans="1:8" ht="51">
      <c r="A1" s="1" t="s">
        <v>84</v>
      </c>
      <c r="B1" s="20" t="str">
        <f>Pivot!B4</f>
        <v>100 ezer lakosra jutó kórházi ágyak száma</v>
      </c>
      <c r="C1" s="20" t="str">
        <f>Pivot!C4</f>
        <v>egészségben eltöltött évek férfiaknál</v>
      </c>
      <c r="D1" s="20" t="str">
        <f>Pivot!D4</f>
        <v>egészségben eltöltött évek nőknél</v>
      </c>
      <c r="E1" s="20" t="str">
        <f>Pivot!E4</f>
        <v>GDP növekedésének üteme</v>
      </c>
      <c r="F1" s="20" t="str">
        <f>Pivot!F4</f>
        <v>Munkanélküliségi ráta</v>
      </c>
      <c r="G1" s="20" t="str">
        <f>Pivot!G4</f>
        <v>Összes kiadás a szociális védelemre(GDPből)</v>
      </c>
      <c r="H1" s="20" t="str">
        <f>Pivot!H4</f>
        <v>Halálozások száma</v>
      </c>
    </row>
    <row r="2" spans="2:8" ht="12.75">
      <c r="B2" t="str">
        <f>Pivot!B5</f>
        <v>db</v>
      </c>
      <c r="C2" t="str">
        <f>Pivot!C5</f>
        <v>db</v>
      </c>
      <c r="D2" t="str">
        <f>Pivot!D5</f>
        <v>db</v>
      </c>
      <c r="E2" t="str">
        <f>Pivot!E5</f>
        <v>%</v>
      </c>
      <c r="F2" t="str">
        <f>Pivot!F5</f>
        <v>%</v>
      </c>
      <c r="G2" t="str">
        <f>Pivot!G5</f>
        <v>%</v>
      </c>
      <c r="H2" t="str">
        <f>Pivot!H5</f>
        <v>100 ezer lakosból</v>
      </c>
    </row>
    <row r="3" spans="1:8" ht="12.75">
      <c r="A3" t="str">
        <f>Pivot!A6</f>
        <v>Ausztria</v>
      </c>
      <c r="B3" s="4">
        <f>GETPIVOTDATA("érték",Pivot!$A$3,"Objektum","Ausztria","Tulajdonság","100 ezer lakosra jutó kórházi ágyak száma","Mértékegység","db")</f>
        <v>777.9</v>
      </c>
      <c r="C3" s="4">
        <f>GETPIVOTDATA("érték",Pivot!$A$3,"Objektum","Ausztria","Tulajdonság","egészségben eltöltött évek férfiaknál","Mértékegység","db")</f>
        <v>58.4</v>
      </c>
      <c r="D3" s="4">
        <f>GETPIVOTDATA("érték",Pivot!$A$3,"Objektum","Ausztria","Tulajdonság","egészségben eltöltött évek nőknél","Mértékegység","db")</f>
        <v>61.1</v>
      </c>
      <c r="E3" s="4">
        <f>GETPIVOTDATA("érték",Pivot!$A$3,"Objektum","Ausztria","Tulajdonság","GDP növekedésének üteme","Mértékegység","%")</f>
        <v>3.1</v>
      </c>
      <c r="F3" s="4">
        <f>GETPIVOTDATA("érték",Pivot!$A$3,"Objektum","Ausztria","Tulajdonság","Munkanélküliségi ráta","Mértékegység","%")</f>
        <v>4.4</v>
      </c>
      <c r="G3" s="4">
        <f>GETPIVOTDATA("érték",Pivot!$A$3,"Objektum","Ausztria","Tulajdonság","Összes kiadás a szociális védelemre(GDPből)","Mértékegység","%")</f>
        <v>28</v>
      </c>
      <c r="H3" s="4">
        <f>GETPIVOTDATA("érték",Pivot!$A$3,"Objektum","Ausztria","Tulajdonság","Halálozások száma","Mértékegység","100 ezer lakosból")</f>
        <v>562.1</v>
      </c>
    </row>
    <row r="4" spans="1:8" ht="12.75">
      <c r="A4" t="str">
        <f>Pivot!A7</f>
        <v>Ciprus</v>
      </c>
      <c r="B4" s="4">
        <f>GETPIVOTDATA("érték",Pivot!$A$3,"Objektum","Ciprus","Tulajdonság","100 ezer lakosra jutó kórházi ágyak száma","Mértékegység","db")</f>
        <v>375.5</v>
      </c>
      <c r="C4" s="4">
        <f>GETPIVOTDATA("érték",Pivot!$A$3,"Objektum","Ciprus","Tulajdonság","egészségben eltöltött évek férfiaknál","Mértékegység","db")</f>
        <v>63</v>
      </c>
      <c r="D4" s="4">
        <f>GETPIVOTDATA("érték",Pivot!$A$3,"Objektum","Ciprus","Tulajdonság","egészségben eltöltött évek nőknél","Mértékegység","db")</f>
        <v>62.7</v>
      </c>
      <c r="E4" s="4">
        <f>GETPIVOTDATA("érték",Pivot!$A$3,"Objektum","Ciprus","Tulajdonság","GDP növekedésének üteme","Mértékegység","%")</f>
        <v>3.6</v>
      </c>
      <c r="F4" s="4">
        <f>GETPIVOTDATA("érték",Pivot!$A$3,"Objektum","Ciprus","Tulajdonság","Munkanélküliségi ráta","Mértékegység","%")</f>
        <v>4</v>
      </c>
      <c r="G4" s="4">
        <f>GETPIVOTDATA("érték",Pivot!$A$3,"Objektum","Ciprus","Tulajdonság","Összes kiadás a szociális védelemre(GDPből)","Mértékegység","%")</f>
        <v>18.5</v>
      </c>
      <c r="H4" s="4">
        <f>GETPIVOTDATA("érték",Pivot!$A$3,"Objektum","Ciprus","Tulajdonság","Halálozások száma","Mértékegység","100 ezer lakosból")</f>
        <v>583.2</v>
      </c>
    </row>
    <row r="5" spans="1:8" ht="12.75">
      <c r="A5" t="str">
        <f>Pivot!A8</f>
        <v>Csehország</v>
      </c>
      <c r="B5" s="4">
        <f>GETPIVOTDATA("érték",Pivot!$A$3,"Objektum","Csehország","Tulajdonság","100 ezer lakosra jutó kórházi ágyak száma","Mértékegység","db")</f>
        <v>727.3</v>
      </c>
      <c r="C5" s="4">
        <f>GETPIVOTDATA("érték",Pivot!$A$3,"Objektum","Csehország","Tulajdonság","egészségben eltöltött évek férfiaknál","Mértékegység","db")</f>
        <v>61.3</v>
      </c>
      <c r="D5" s="4">
        <f>GETPIVOTDATA("érték",Pivot!$A$3,"Objektum","Csehország","Tulajdonság","egészségben eltöltött évek nőknél","Mértékegység","db")</f>
        <v>63.2</v>
      </c>
      <c r="E5" s="4">
        <f>GETPIVOTDATA("érték",Pivot!$A$3,"Objektum","Csehország","Tulajdonság","GDP növekedésének üteme","Mértékegység","%")</f>
        <v>5.6</v>
      </c>
      <c r="F5" s="4">
        <f>GETPIVOTDATA("érték",Pivot!$A$3,"Objektum","Csehország","Tulajdonság","Munkanélküliségi ráta","Mértékegység","%")</f>
        <v>5.3</v>
      </c>
      <c r="G5" s="4">
        <f>GETPIVOTDATA("érték",Pivot!$A$3,"Objektum","Csehország","Tulajdonság","Összes kiadás a szociális védelemre(GDPből)","Mértékegység","%")</f>
        <v>18.6</v>
      </c>
      <c r="H5" s="4">
        <f>GETPIVOTDATA("érték",Pivot!$A$3,"Objektum","Csehország","Tulajdonság","Halálozások száma","Mértékegység","100 ezer lakosból")</f>
        <v>767.1</v>
      </c>
    </row>
    <row r="6" spans="1:8" ht="12.75">
      <c r="A6" t="str">
        <f>Pivot!A9</f>
        <v>Dánia</v>
      </c>
      <c r="B6" s="4">
        <f>GETPIVOTDATA("érték",Pivot!$A$3,"Objektum","Dánia","Tulajdonság","100 ezer lakosra jutó kórházi ágyak száma","Mértékegység","db")</f>
        <v>340.8</v>
      </c>
      <c r="C6" s="4">
        <f>GETPIVOTDATA("érték",Pivot!$A$3,"Objektum","Dánia","Tulajdonság","egészségben eltöltött évek férfiaknál","Mértékegység","db")</f>
        <v>67.4</v>
      </c>
      <c r="D6" s="4">
        <f>GETPIVOTDATA("érték",Pivot!$A$3,"Objektum","Dánia","Tulajdonság","egészségben eltöltött évek nőknél","Mértékegység","db")</f>
        <v>67.4</v>
      </c>
      <c r="E6" s="4">
        <f>GETPIVOTDATA("érték",Pivot!$A$3,"Objektum","Dánia","Tulajdonság","GDP növekedésének üteme","Mértékegység","%")</f>
        <v>1.3</v>
      </c>
      <c r="F6" s="4">
        <f>GETPIVOTDATA("érték",Pivot!$A$3,"Objektum","Dánia","Tulajdonság","Munkanélküliségi ráta","Mértékegység","%")</f>
        <v>3.8</v>
      </c>
      <c r="G6" s="4">
        <f>GETPIVOTDATA("érték",Pivot!$A$3,"Objektum","Dánia","Tulajdonság","Összes kiadás a szociális védelemre(GDPből)","Mértékegység","%")</f>
        <v>28.9</v>
      </c>
      <c r="H6" s="4">
        <f>GETPIVOTDATA("érték",Pivot!$A$3,"Objektum","Dánia","Tulajdonság","Halálozások száma","Mértékegység","100 ezer lakosból")</f>
        <v>703.65</v>
      </c>
    </row>
    <row r="7" spans="1:8" ht="12.75">
      <c r="A7" t="str">
        <f>Pivot!A10</f>
        <v>Egyesült Királyság</v>
      </c>
      <c r="B7" s="4">
        <f>GETPIVOTDATA("érték",Pivot!$A$3,"Objektum","Egyesült Királyság","Tulajdonság","100 ezer lakosra jutó kórházi ágyak száma","Mértékegység","db")</f>
        <v>341.8</v>
      </c>
      <c r="C7" s="4">
        <f>GETPIVOTDATA("érték",Pivot!$A$3,"Objektum","Egyesült Királyság","Tulajdonság","egészségben eltöltött évek férfiaknál","Mértékegység","db")</f>
        <v>64.8</v>
      </c>
      <c r="D7" s="4">
        <f>GETPIVOTDATA("érték",Pivot!$A$3,"Objektum","Egyesült Királyság","Tulajdonság","egészségben eltöltött évek nőknél","Mértékegység","db")</f>
        <v>66.2</v>
      </c>
      <c r="E7" s="4">
        <f>GETPIVOTDATA("érték",Pivot!$A$3,"Objektum","Egyesült Királyság","Tulajdonság","GDP növekedésének üteme","Mértékegység","%")</f>
        <v>1.9</v>
      </c>
      <c r="F7" s="4">
        <f>GETPIVOTDATA("érték",Pivot!$A$3,"Objektum","Egyesült Királyság","Tulajdonság","Munkanélküliségi ráta","Mértékegység","%")</f>
        <v>5.3</v>
      </c>
      <c r="G7" s="4">
        <f>GETPIVOTDATA("érték",Pivot!$A$3,"Objektum","Egyesült Királyság","Tulajdonság","Összes kiadás a szociális védelemre(GDPből)","Mértékegység","%")</f>
        <v>25.3</v>
      </c>
      <c r="H7" s="4">
        <f>GETPIVOTDATA("érték",Pivot!$A$3,"Objektum","Egyesült Királyság","Tulajdonság","Halálozások száma","Mértékegység","100 ezer lakosból")</f>
        <v>598.7</v>
      </c>
    </row>
    <row r="8" spans="1:8" ht="12.75">
      <c r="A8" t="str">
        <f>Pivot!A11</f>
        <v>Franciaország</v>
      </c>
      <c r="B8" s="4">
        <f>GETPIVOTDATA("érték",Pivot!$A$3,"Objektum","Franciaország","Tulajdonság","100 ezer lakosra jutó kórházi ágyak száma","Mértékegység","db")</f>
        <v>707.5</v>
      </c>
      <c r="C8" s="4">
        <f>GETPIVOTDATA("érték",Pivot!$A$3,"Objektum","Franciaország","Tulajdonság","egészségben eltöltött évek férfiaknál","Mértékegység","db")</f>
        <v>63.1</v>
      </c>
      <c r="D8" s="4">
        <f>GETPIVOTDATA("érték",Pivot!$A$3,"Objektum","Franciaország","Tulajdonság","egészségben eltöltött évek nőknél","Mértékegység","db")</f>
        <v>64.2</v>
      </c>
      <c r="E8" s="4">
        <f>GETPIVOTDATA("érték",Pivot!$A$3,"Objektum","Franciaország","Tulajdonság","GDP növekedésének üteme","Mértékegység","%")</f>
        <v>1.8</v>
      </c>
      <c r="F8" s="4">
        <f>GETPIVOTDATA("érték",Pivot!$A$3,"Objektum","Franciaország","Tulajdonság","Munkanélküliségi ráta","Mértékegység","%")</f>
        <v>8.4</v>
      </c>
      <c r="G8" s="4">
        <f>GETPIVOTDATA("érték",Pivot!$A$3,"Objektum","Franciaország","Tulajdonság","Összes kiadás a szociális védelemre(GDPből)","Mértékegység","%")</f>
        <v>30.5</v>
      </c>
      <c r="H8" s="4">
        <f>GETPIVOTDATA("érték",Pivot!$A$3,"Objektum","Franciaország","Tulajdonság","Halálozások száma","Mértékegység","100 ezer lakosból")</f>
        <v>523.4</v>
      </c>
    </row>
    <row r="9" spans="1:8" ht="12.75">
      <c r="A9" t="str">
        <f>Pivot!A12</f>
        <v>Hollandia</v>
      </c>
      <c r="B9" s="4">
        <f>GETPIVOTDATA("érték",Pivot!$A$3,"Objektum","Hollandia","Tulajdonság","100 ezer lakosra jutó kórházi ágyak száma","Mértékegység","db")</f>
        <v>481.5</v>
      </c>
      <c r="C9" s="4">
        <f>GETPIVOTDATA("érték",Pivot!$A$3,"Objektum","Hollandia","Tulajdonság","egészségben eltöltött évek férfiaknál","Mértékegység","db")</f>
        <v>65.7</v>
      </c>
      <c r="D9" s="4">
        <f>GETPIVOTDATA("érték",Pivot!$A$3,"Objektum","Hollandia","Tulajdonság","egészségben eltöltött évek nőknél","Mértékegység","db")</f>
        <v>63.7</v>
      </c>
      <c r="E9" s="4">
        <f>GETPIVOTDATA("érték",Pivot!$A$3,"Objektum","Hollandia","Tulajdonság","GDP növekedésének üteme","Mértékegység","%")</f>
        <v>3.4</v>
      </c>
      <c r="F9" s="4">
        <f>GETPIVOTDATA("érték",Pivot!$A$3,"Objektum","Hollandia","Tulajdonság","Munkanélküliségi ráta","Mértékegység","%")</f>
        <v>3.2</v>
      </c>
      <c r="G9" s="4">
        <f>GETPIVOTDATA("érték",Pivot!$A$3,"Objektum","Hollandia","Tulajdonság","Összes kiadás a szociális védelemre(GDPből)","Mértékegység","%")</f>
        <v>28.4</v>
      </c>
      <c r="H9" s="4">
        <f>GETPIVOTDATA("érték",Pivot!$A$3,"Objektum","Hollandia","Tulajdonság","Halálozások száma","Mértékegység","100 ezer lakosból")</f>
        <v>571.9</v>
      </c>
    </row>
    <row r="10" spans="1:8" ht="12.75">
      <c r="A10" t="str">
        <f>Pivot!A13</f>
        <v>Lengyelország</v>
      </c>
      <c r="B10" s="4">
        <f>GETPIVOTDATA("érték",Pivot!$A$3,"Objektum","Lengyelország","Tulajdonság","100 ezer lakosra jutó kórházi ágyak száma","Mértékegység","db")</f>
        <v>642.5</v>
      </c>
      <c r="C10" s="4">
        <f>GETPIVOTDATA("érték",Pivot!$A$3,"Objektum","Lengyelország","Tulajdonság","egészségben eltöltött évek férfiaknál","Mértékegység","db")</f>
        <v>57.4</v>
      </c>
      <c r="D10" s="4">
        <f>GETPIVOTDATA("érték",Pivot!$A$3,"Objektum","Lengyelország","Tulajdonság","egészségben eltöltött évek nőknél","Mértékegység","db")</f>
        <v>61.3</v>
      </c>
      <c r="E10" s="4">
        <f>GETPIVOTDATA("érték",Pivot!$A$3,"Objektum","Lengyelország","Tulajdonság","GDP növekedésének üteme","Mértékegység","%")</f>
        <v>6.8</v>
      </c>
      <c r="F10" s="4">
        <f>GETPIVOTDATA("érték",Pivot!$A$3,"Objektum","Lengyelország","Tulajdonság","Munkanélküliségi ráta","Mértékegység","%")</f>
        <v>9.6</v>
      </c>
      <c r="G10" s="4">
        <f>GETPIVOTDATA("érték",Pivot!$A$3,"Objektum","Lengyelország","Tulajdonság","Összes kiadás a szociális védelemre(GDPből)","Mértékegység","%")</f>
        <v>18.1</v>
      </c>
      <c r="H10" s="4">
        <f>GETPIVOTDATA("érték",Pivot!$A$3,"Objektum","Lengyelország","Tulajdonság","Halálozások száma","Mértékegység","100 ezer lakosból")</f>
        <v>836.3</v>
      </c>
    </row>
    <row r="11" spans="1:8" ht="12.75">
      <c r="A11" t="str">
        <f>Pivot!A14</f>
        <v>Magyarország</v>
      </c>
      <c r="B11" s="4">
        <f>GETPIVOTDATA("érték",Pivot!$A$3,"Objektum","Magyarország","Tulajdonság","100 ezer lakosra jutó kórházi ágyak száma","Mértékegység","db")</f>
        <v>713.3</v>
      </c>
      <c r="C11" s="4">
        <f>GETPIVOTDATA("érték",Pivot!$A$3,"Objektum","Magyarország","Tulajdonság","egészségben eltöltött évek férfiaknál","Mértékegység","db")</f>
        <v>55</v>
      </c>
      <c r="D11" s="4">
        <f>GETPIVOTDATA("érték",Pivot!$A$3,"Objektum","Magyarország","Tulajdonság","egészségben eltöltött évek nőknél","Mértékegység","db")</f>
        <v>57.6</v>
      </c>
      <c r="E11" s="4">
        <f>GETPIVOTDATA("érték",Pivot!$A$3,"Objektum","Magyarország","Tulajdonság","GDP növekedésének üteme","Mértékegység","%")</f>
        <v>1.1</v>
      </c>
      <c r="F11" s="4">
        <f>GETPIVOTDATA("érték",Pivot!$A$3,"Objektum","Magyarország","Tulajdonság","Munkanélküliségi ráta","Mértékegység","%")</f>
        <v>7.4</v>
      </c>
      <c r="G11" s="4">
        <f>GETPIVOTDATA("érték",Pivot!$A$3,"Objektum","Magyarország","Tulajdonság","Összes kiadás a szociális védelemre(GDPből)","Mértékegység","%")</f>
        <v>22.3</v>
      </c>
      <c r="H11" s="4">
        <f>GETPIVOTDATA("érték",Pivot!$A$3,"Objektum","Magyarország","Tulajdonság","Halálozások száma","Mértékegység","100 ezer lakosból")</f>
        <v>962.6</v>
      </c>
    </row>
    <row r="12" spans="1:8" ht="12.75">
      <c r="A12" t="str">
        <f>Pivot!A15</f>
        <v>Németország</v>
      </c>
      <c r="B12" s="4">
        <f>GETPIVOTDATA("érték",Pivot!$A$3,"Objektum","Németország","Tulajdonság","100 ezer lakosra jutó kórházi ágyak száma","Mértékegység","db")</f>
        <v>858.6166666666667</v>
      </c>
      <c r="C12" s="4">
        <f>GETPIVOTDATA("érték",Pivot!$A$3,"Objektum","Németország","Tulajdonság","egészségben eltöltött évek férfiaknál","Mértékegység","db")</f>
        <v>58.8</v>
      </c>
      <c r="D12" s="4">
        <f>GETPIVOTDATA("érték",Pivot!$A$3,"Objektum","Németország","Tulajdonság","egészségben eltöltött évek nőknél","Mértékegység","db")</f>
        <v>58.4</v>
      </c>
      <c r="E12" s="4">
        <f>GETPIVOTDATA("érték",Pivot!$A$3,"Objektum","Németország","Tulajdonság","GDP növekedésének üteme","Mértékegység","%")</f>
        <v>2.6</v>
      </c>
      <c r="F12" s="4">
        <f>GETPIVOTDATA("érték",Pivot!$A$3,"Objektum","Németország","Tulajdonság","Munkanélküliségi ráta","Mértékegység","%")</f>
        <v>8.4</v>
      </c>
      <c r="G12" s="4">
        <f>GETPIVOTDATA("érték",Pivot!$A$3,"Objektum","Németország","Tulajdonság","Összes kiadás a szociális védelemre(GDPből)","Mértékegység","%")</f>
        <v>27.7</v>
      </c>
      <c r="H12" s="4">
        <f>GETPIVOTDATA("érték",Pivot!$A$3,"Objektum","Németország","Tulajdonság","Halálozások száma","Mértékegység","100 ezer lakosból")</f>
        <v>585</v>
      </c>
    </row>
    <row r="13" spans="1:8" ht="12.75">
      <c r="A13" t="str">
        <f>Pivot!A16</f>
        <v>Norvégia</v>
      </c>
      <c r="B13" s="4">
        <f>GETPIVOTDATA("érték",Pivot!$A$3,"Objektum","Norvégia","Tulajdonság","100 ezer lakosra jutó kórházi ágyak száma","Mértékegység","db")</f>
        <v>382.3</v>
      </c>
      <c r="C13" s="4">
        <f>GETPIVOTDATA("érték",Pivot!$A$3,"Objektum","Norvégia","Tulajdonság","egészségben eltöltött évek férfiaknál","Mértékegység","db")</f>
        <v>66.4</v>
      </c>
      <c r="D13" s="4">
        <f>GETPIVOTDATA("érték",Pivot!$A$3,"Objektum","Norvégia","Tulajdonság","egészségben eltöltött évek nőknél","Mértékegység","db")</f>
        <v>66</v>
      </c>
      <c r="E13" s="4">
        <f>GETPIVOTDATA("érték",Pivot!$A$3,"Objektum","Norvégia","Tulajdonság","GDP növekedésének üteme","Mértékegység","%")</f>
        <v>1.7</v>
      </c>
      <c r="F13" s="4">
        <f>GETPIVOTDATA("érték",Pivot!$A$3,"Objektum","Norvégia","Tulajdonság","Munkanélküliségi ráta","Mértékegység","%")</f>
        <v>2.5</v>
      </c>
      <c r="G13" s="4">
        <f>GETPIVOTDATA("érték",Pivot!$A$3,"Objektum","Norvégia","Tulajdonság","Összes kiadás a szociális védelemre(GDPből)","Mértékegység","%")</f>
        <v>22.8</v>
      </c>
      <c r="H13" s="4">
        <f>GETPIVOTDATA("érték",Pivot!$A$3,"Objektum","Norvégia","Tulajdonság","Halálozások száma","Mértékegység","100 ezer lakosból")</f>
        <v>559.1</v>
      </c>
    </row>
    <row r="14" spans="1:8" ht="12.75">
      <c r="A14" t="str">
        <f>Pivot!A17</f>
        <v>Spanyolország</v>
      </c>
      <c r="B14" s="4">
        <f>GETPIVOTDATA("érték",Pivot!$A$3,"Objektum","Spanyolország","Tulajdonság","100 ezer lakosra jutó kórházi ágyak száma","Mértékegység","db")</f>
        <v>330.2</v>
      </c>
      <c r="C14" s="4">
        <f>GETPIVOTDATA("érték",Pivot!$A$3,"Objektum","Spanyolország","Tulajdonság","egészségben eltöltött évek férfiaknál","Mértékegység","db")</f>
        <v>63.2</v>
      </c>
      <c r="D14" s="4">
        <f>GETPIVOTDATA("érték",Pivot!$A$3,"Objektum","Spanyolország","Tulajdonság","egészségben eltöltött évek nőknél","Mértékegység","db")</f>
        <v>62.9</v>
      </c>
      <c r="E14" s="4">
        <f>GETPIVOTDATA("érték",Pivot!$A$3,"Objektum","Spanyolország","Tulajdonság","GDP növekedésének üteme","Mértékegység","%")</f>
        <v>1.7</v>
      </c>
      <c r="F14" s="4">
        <f>GETPIVOTDATA("érték",Pivot!$A$3,"Objektum","Spanyolország","Tulajdonság","Munkanélküliségi ráta","Mértékegység","%")</f>
        <v>8.3</v>
      </c>
      <c r="G14" s="4">
        <f>GETPIVOTDATA("érték",Pivot!$A$3,"Objektum","Spanyolország","Tulajdonság","Összes kiadás a szociális védelemre(GDPből)","Mértékegység","%")</f>
        <v>21</v>
      </c>
      <c r="H14" s="4">
        <f>GETPIVOTDATA("érték",Pivot!$A$3,"Objektum","Spanyolország","Tulajdonság","Halálozások száma","Mértékegység","100 ezer lakosból")</f>
        <v>534.2</v>
      </c>
    </row>
    <row r="15" spans="1:8" ht="12.75">
      <c r="A15" t="str">
        <f>Pivot!A18</f>
        <v>Svédország</v>
      </c>
      <c r="B15" s="4">
        <f>GETPIVOTDATA("érték",Pivot!$A$3,"Objektum","Svédország","Tulajdonság","100 ezer lakosra jutó kórházi ágyak száma","Mértékegység","db")</f>
        <v>300.0833333333334</v>
      </c>
      <c r="C15" s="4">
        <f>GETPIVOTDATA("érték",Pivot!$A$3,"Objektum","Svédország","Tulajdonság","egészségben eltöltött évek férfiaknál","Mértékegység","db")</f>
        <v>67.5</v>
      </c>
      <c r="D15" s="4">
        <f>GETPIVOTDATA("érték",Pivot!$A$3,"Objektum","Svédország","Tulajdonság","egészségben eltöltött évek nőknél","Mértékegység","db")</f>
        <v>66.6</v>
      </c>
      <c r="E15" s="4">
        <f>GETPIVOTDATA("érték",Pivot!$A$3,"Objektum","Svédország","Tulajdonság","GDP növekedésének üteme","Mértékegység","%")</f>
        <v>2.6</v>
      </c>
      <c r="F15" s="4">
        <f>GETPIVOTDATA("érték",Pivot!$A$3,"Objektum","Svédország","Tulajdonság","Munkanélküliségi ráta","Mértékegység","%")</f>
        <v>6.1</v>
      </c>
      <c r="G15" s="4">
        <f>GETPIVOTDATA("érték",Pivot!$A$3,"Objektum","Svédország","Tulajdonság","Összes kiadás a szociális védelemre(GDPből)","Mértékegység","%")</f>
        <v>29.7</v>
      </c>
      <c r="H15" s="4">
        <f>GETPIVOTDATA("érték",Pivot!$A$3,"Objektum","Svédország","Tulajdonság","Halálozások száma","Mértékegység","100 ezer lakosból")</f>
        <v>541.3</v>
      </c>
    </row>
    <row r="16" spans="1:8" ht="12.75">
      <c r="A16" t="str">
        <f>Pivot!A19</f>
        <v>Szlovákia</v>
      </c>
      <c r="B16" s="4">
        <f>GETPIVOTDATA("érték",Pivot!$A$3,"Objektum","Szlovákia","Tulajdonság","100 ezer lakosra jutó kórházi ágyak száma","Mértékegység","db")</f>
        <v>674.9</v>
      </c>
      <c r="C16" s="4">
        <f>GETPIVOTDATA("érték",Pivot!$A$3,"Objektum","Szlovákia","Tulajdonság","egészségben eltöltött évek férfiaknál","Mértékegység","db")</f>
        <v>55.4</v>
      </c>
      <c r="D16" s="4">
        <f>GETPIVOTDATA("érték",Pivot!$A$3,"Objektum","Szlovákia","Tulajdonság","egészségben eltöltött évek nőknél","Mértékegység","db")</f>
        <v>55.9</v>
      </c>
      <c r="E16" s="4">
        <f>GETPIVOTDATA("érték",Pivot!$A$3,"Objektum","Szlovákia","Tulajdonság","GDP növekedésének üteme","Mértékegység","%")</f>
        <v>10.5</v>
      </c>
      <c r="F16" s="4">
        <f>GETPIVOTDATA("érték",Pivot!$A$3,"Objektum","Szlovákia","Tulajdonság","Munkanélküliségi ráta","Mértékegység","%")</f>
        <v>11.1</v>
      </c>
      <c r="G16" s="4">
        <f>GETPIVOTDATA("érték",Pivot!$A$3,"Objektum","Szlovákia","Tulajdonság","Összes kiadás a szociális védelemre(GDPből)","Mértékegység","%")</f>
        <v>16</v>
      </c>
      <c r="H16" s="4">
        <f>GETPIVOTDATA("érték",Pivot!$A$3,"Objektum","Szlovákia","Tulajdonság","Halálozások száma","Mértékegység","100 ezer lakosból")</f>
        <v>917</v>
      </c>
    </row>
    <row r="17" spans="2:7" ht="12.75">
      <c r="B17">
        <v>1</v>
      </c>
      <c r="C17">
        <v>1</v>
      </c>
      <c r="D17">
        <v>1</v>
      </c>
      <c r="E17">
        <v>1</v>
      </c>
      <c r="F17">
        <v>0</v>
      </c>
      <c r="G17">
        <v>1</v>
      </c>
    </row>
    <row r="19" spans="1:8" ht="51">
      <c r="A19" s="1" t="s">
        <v>85</v>
      </c>
      <c r="B19" s="20" t="str">
        <f>B1</f>
        <v>100 ezer lakosra jutó kórházi ágyak száma</v>
      </c>
      <c r="C19" s="20" t="str">
        <f aca="true" t="shared" si="0" ref="C19:H19">C1</f>
        <v>egészségben eltöltött évek férfiaknál</v>
      </c>
      <c r="D19" s="20" t="str">
        <f t="shared" si="0"/>
        <v>egészségben eltöltött évek nőknél</v>
      </c>
      <c r="E19" s="20" t="str">
        <f t="shared" si="0"/>
        <v>GDP növekedésének üteme</v>
      </c>
      <c r="F19" s="20" t="str">
        <f t="shared" si="0"/>
        <v>Munkanélküliségi ráta</v>
      </c>
      <c r="G19" s="20" t="str">
        <f t="shared" si="0"/>
        <v>Összes kiadás a szociális védelemre(GDPből)</v>
      </c>
      <c r="H19" s="20" t="str">
        <f t="shared" si="0"/>
        <v>Halálozások száma</v>
      </c>
    </row>
    <row r="20" spans="1:8" ht="12.75">
      <c r="A20" t="str">
        <f>A3</f>
        <v>Ausztria</v>
      </c>
      <c r="B20">
        <f aca="true" t="shared" si="1" ref="B20:G20">RANK(B3,B$3:B$16,B$17)</f>
        <v>13</v>
      </c>
      <c r="C20">
        <f t="shared" si="1"/>
        <v>4</v>
      </c>
      <c r="D20">
        <f t="shared" si="1"/>
        <v>4</v>
      </c>
      <c r="E20">
        <f t="shared" si="1"/>
        <v>9</v>
      </c>
      <c r="F20">
        <f t="shared" si="1"/>
        <v>10</v>
      </c>
      <c r="G20">
        <f t="shared" si="1"/>
        <v>10</v>
      </c>
      <c r="H20" s="4">
        <f>H3</f>
        <v>562.1</v>
      </c>
    </row>
    <row r="21" spans="1:8" ht="12.75">
      <c r="A21" t="str">
        <f aca="true" t="shared" si="2" ref="A21:A33">A4</f>
        <v>Ciprus</v>
      </c>
      <c r="B21">
        <f aca="true" t="shared" si="3" ref="B21:G33">RANK(B4,B$3:B$16,B$17)</f>
        <v>5</v>
      </c>
      <c r="C21">
        <f t="shared" si="3"/>
        <v>7</v>
      </c>
      <c r="D21">
        <f t="shared" si="3"/>
        <v>6</v>
      </c>
      <c r="E21">
        <f t="shared" si="3"/>
        <v>11</v>
      </c>
      <c r="F21">
        <f t="shared" si="3"/>
        <v>11</v>
      </c>
      <c r="G21">
        <f t="shared" si="3"/>
        <v>3</v>
      </c>
      <c r="H21" s="4">
        <f aca="true" t="shared" si="4" ref="H21:H33">H4</f>
        <v>583.2</v>
      </c>
    </row>
    <row r="22" spans="1:8" ht="12.75">
      <c r="A22" t="str">
        <f t="shared" si="2"/>
        <v>Csehország</v>
      </c>
      <c r="B22">
        <f t="shared" si="3"/>
        <v>12</v>
      </c>
      <c r="C22">
        <f t="shared" si="3"/>
        <v>6</v>
      </c>
      <c r="D22">
        <f t="shared" si="3"/>
        <v>8</v>
      </c>
      <c r="E22">
        <f t="shared" si="3"/>
        <v>12</v>
      </c>
      <c r="F22">
        <f t="shared" si="3"/>
        <v>8</v>
      </c>
      <c r="G22">
        <f t="shared" si="3"/>
        <v>4</v>
      </c>
      <c r="H22" s="4">
        <f t="shared" si="4"/>
        <v>767.1</v>
      </c>
    </row>
    <row r="23" spans="1:8" ht="12.75">
      <c r="A23" t="str">
        <f t="shared" si="2"/>
        <v>Dánia</v>
      </c>
      <c r="B23">
        <f t="shared" si="3"/>
        <v>3</v>
      </c>
      <c r="C23">
        <f t="shared" si="3"/>
        <v>13</v>
      </c>
      <c r="D23">
        <f t="shared" si="3"/>
        <v>14</v>
      </c>
      <c r="E23">
        <f t="shared" si="3"/>
        <v>2</v>
      </c>
      <c r="F23">
        <f t="shared" si="3"/>
        <v>12</v>
      </c>
      <c r="G23">
        <f t="shared" si="3"/>
        <v>12</v>
      </c>
      <c r="H23" s="4">
        <f t="shared" si="4"/>
        <v>703.65</v>
      </c>
    </row>
    <row r="24" spans="1:8" ht="12.75">
      <c r="A24" t="str">
        <f t="shared" si="2"/>
        <v>Egyesült Királyság</v>
      </c>
      <c r="B24">
        <f t="shared" si="3"/>
        <v>4</v>
      </c>
      <c r="C24">
        <f t="shared" si="3"/>
        <v>10</v>
      </c>
      <c r="D24">
        <f t="shared" si="3"/>
        <v>12</v>
      </c>
      <c r="E24">
        <f t="shared" si="3"/>
        <v>6</v>
      </c>
      <c r="F24">
        <f t="shared" si="3"/>
        <v>8</v>
      </c>
      <c r="G24">
        <f t="shared" si="3"/>
        <v>8</v>
      </c>
      <c r="H24" s="4">
        <f t="shared" si="4"/>
        <v>598.7</v>
      </c>
    </row>
    <row r="25" spans="1:8" ht="12.75">
      <c r="A25" t="str">
        <f t="shared" si="2"/>
        <v>Franciaország</v>
      </c>
      <c r="B25">
        <f t="shared" si="3"/>
        <v>10</v>
      </c>
      <c r="C25">
        <f t="shared" si="3"/>
        <v>8</v>
      </c>
      <c r="D25">
        <f t="shared" si="3"/>
        <v>10</v>
      </c>
      <c r="E25">
        <f t="shared" si="3"/>
        <v>5</v>
      </c>
      <c r="F25">
        <f t="shared" si="3"/>
        <v>3</v>
      </c>
      <c r="G25">
        <f t="shared" si="3"/>
        <v>14</v>
      </c>
      <c r="H25" s="4">
        <f t="shared" si="4"/>
        <v>523.4</v>
      </c>
    </row>
    <row r="26" spans="1:8" ht="12.75">
      <c r="A26" t="str">
        <f t="shared" si="2"/>
        <v>Hollandia</v>
      </c>
      <c r="B26">
        <f t="shared" si="3"/>
        <v>7</v>
      </c>
      <c r="C26">
        <f t="shared" si="3"/>
        <v>11</v>
      </c>
      <c r="D26">
        <f t="shared" si="3"/>
        <v>9</v>
      </c>
      <c r="E26">
        <f t="shared" si="3"/>
        <v>10</v>
      </c>
      <c r="F26">
        <f t="shared" si="3"/>
        <v>13</v>
      </c>
      <c r="G26">
        <f t="shared" si="3"/>
        <v>11</v>
      </c>
      <c r="H26" s="4">
        <f t="shared" si="4"/>
        <v>571.9</v>
      </c>
    </row>
    <row r="27" spans="1:8" ht="12.75">
      <c r="A27" t="str">
        <f t="shared" si="2"/>
        <v>Lengyelország</v>
      </c>
      <c r="B27">
        <f t="shared" si="3"/>
        <v>8</v>
      </c>
      <c r="C27">
        <f t="shared" si="3"/>
        <v>3</v>
      </c>
      <c r="D27">
        <f t="shared" si="3"/>
        <v>5</v>
      </c>
      <c r="E27">
        <f t="shared" si="3"/>
        <v>13</v>
      </c>
      <c r="F27">
        <f t="shared" si="3"/>
        <v>2</v>
      </c>
      <c r="G27">
        <f t="shared" si="3"/>
        <v>2</v>
      </c>
      <c r="H27" s="4">
        <f t="shared" si="4"/>
        <v>836.3</v>
      </c>
    </row>
    <row r="28" spans="1:8" ht="12.75">
      <c r="A28" t="str">
        <f t="shared" si="2"/>
        <v>Magyarország</v>
      </c>
      <c r="B28">
        <f t="shared" si="3"/>
        <v>11</v>
      </c>
      <c r="C28">
        <f t="shared" si="3"/>
        <v>1</v>
      </c>
      <c r="D28">
        <f t="shared" si="3"/>
        <v>2</v>
      </c>
      <c r="E28">
        <f t="shared" si="3"/>
        <v>1</v>
      </c>
      <c r="F28">
        <f t="shared" si="3"/>
        <v>6</v>
      </c>
      <c r="G28">
        <f t="shared" si="3"/>
        <v>6</v>
      </c>
      <c r="H28" s="4">
        <f t="shared" si="4"/>
        <v>962.6</v>
      </c>
    </row>
    <row r="29" spans="1:8" ht="12.75">
      <c r="A29" t="str">
        <f t="shared" si="2"/>
        <v>Németország</v>
      </c>
      <c r="B29">
        <f t="shared" si="3"/>
        <v>14</v>
      </c>
      <c r="C29">
        <f t="shared" si="3"/>
        <v>5</v>
      </c>
      <c r="D29">
        <f t="shared" si="3"/>
        <v>3</v>
      </c>
      <c r="E29">
        <f t="shared" si="3"/>
        <v>7</v>
      </c>
      <c r="F29">
        <f t="shared" si="3"/>
        <v>3</v>
      </c>
      <c r="G29">
        <f t="shared" si="3"/>
        <v>9</v>
      </c>
      <c r="H29" s="4">
        <f t="shared" si="4"/>
        <v>585</v>
      </c>
    </row>
    <row r="30" spans="1:8" ht="12.75">
      <c r="A30" t="str">
        <f t="shared" si="2"/>
        <v>Norvégia</v>
      </c>
      <c r="B30">
        <f t="shared" si="3"/>
        <v>6</v>
      </c>
      <c r="C30">
        <f t="shared" si="3"/>
        <v>12</v>
      </c>
      <c r="D30">
        <f t="shared" si="3"/>
        <v>11</v>
      </c>
      <c r="E30">
        <f t="shared" si="3"/>
        <v>3</v>
      </c>
      <c r="F30">
        <f t="shared" si="3"/>
        <v>14</v>
      </c>
      <c r="G30">
        <f t="shared" si="3"/>
        <v>7</v>
      </c>
      <c r="H30" s="4">
        <f t="shared" si="4"/>
        <v>559.1</v>
      </c>
    </row>
    <row r="31" spans="1:8" ht="12.75">
      <c r="A31" t="str">
        <f t="shared" si="2"/>
        <v>Spanyolország</v>
      </c>
      <c r="B31">
        <f t="shared" si="3"/>
        <v>2</v>
      </c>
      <c r="C31">
        <f t="shared" si="3"/>
        <v>9</v>
      </c>
      <c r="D31">
        <f t="shared" si="3"/>
        <v>7</v>
      </c>
      <c r="E31">
        <f t="shared" si="3"/>
        <v>3</v>
      </c>
      <c r="F31">
        <f t="shared" si="3"/>
        <v>5</v>
      </c>
      <c r="G31">
        <f t="shared" si="3"/>
        <v>5</v>
      </c>
      <c r="H31" s="4">
        <f t="shared" si="4"/>
        <v>534.2</v>
      </c>
    </row>
    <row r="32" spans="1:8" ht="12.75">
      <c r="A32" t="str">
        <f t="shared" si="2"/>
        <v>Svédország</v>
      </c>
      <c r="B32">
        <f t="shared" si="3"/>
        <v>1</v>
      </c>
      <c r="C32">
        <f t="shared" si="3"/>
        <v>14</v>
      </c>
      <c r="D32">
        <f t="shared" si="3"/>
        <v>13</v>
      </c>
      <c r="E32">
        <f t="shared" si="3"/>
        <v>7</v>
      </c>
      <c r="F32">
        <f t="shared" si="3"/>
        <v>7</v>
      </c>
      <c r="G32">
        <f t="shared" si="3"/>
        <v>13</v>
      </c>
      <c r="H32" s="4">
        <f t="shared" si="4"/>
        <v>541.3</v>
      </c>
    </row>
    <row r="33" spans="1:8" ht="12.75">
      <c r="A33" t="str">
        <f t="shared" si="2"/>
        <v>Szlovákia</v>
      </c>
      <c r="B33">
        <f t="shared" si="3"/>
        <v>9</v>
      </c>
      <c r="C33">
        <f t="shared" si="3"/>
        <v>2</v>
      </c>
      <c r="D33">
        <f t="shared" si="3"/>
        <v>1</v>
      </c>
      <c r="E33">
        <f t="shared" si="3"/>
        <v>14</v>
      </c>
      <c r="F33">
        <f t="shared" si="3"/>
        <v>1</v>
      </c>
      <c r="G33">
        <f t="shared" si="3"/>
        <v>1</v>
      </c>
      <c r="H33" s="4">
        <f t="shared" si="4"/>
        <v>917</v>
      </c>
    </row>
    <row r="36" spans="1:15" ht="63.75">
      <c r="A36" s="1" t="s">
        <v>86</v>
      </c>
      <c r="B36" s="20" t="str">
        <f aca="true" t="shared" si="5" ref="B36:G36">B19</f>
        <v>100 ezer lakosra jutó kórházi ágyak száma</v>
      </c>
      <c r="C36" s="20" t="str">
        <f t="shared" si="5"/>
        <v>egészségben eltöltött évek férfiaknál</v>
      </c>
      <c r="D36" s="20" t="str">
        <f t="shared" si="5"/>
        <v>egészségben eltöltött évek nőknél</v>
      </c>
      <c r="E36" s="20" t="str">
        <f t="shared" si="5"/>
        <v>GDP növekedésének üteme</v>
      </c>
      <c r="F36" s="20" t="str">
        <f t="shared" si="5"/>
        <v>Munkanélküliségi ráta</v>
      </c>
      <c r="G36" s="20" t="str">
        <f t="shared" si="5"/>
        <v>Összes kiadás a szociális védelemre(GDPből)</v>
      </c>
      <c r="H36" s="21" t="s">
        <v>87</v>
      </c>
      <c r="I36" s="20" t="str">
        <f aca="true" t="shared" si="6" ref="I36:N36">B1</f>
        <v>100 ezer lakosra jutó kórházi ágyak száma</v>
      </c>
      <c r="J36" s="20" t="str">
        <f t="shared" si="6"/>
        <v>egészségben eltöltött évek férfiaknál</v>
      </c>
      <c r="K36" s="20" t="str">
        <f t="shared" si="6"/>
        <v>egészségben eltöltött évek nőknél</v>
      </c>
      <c r="L36" s="20" t="str">
        <f t="shared" si="6"/>
        <v>GDP növekedésének üteme</v>
      </c>
      <c r="M36" s="20" t="str">
        <f t="shared" si="6"/>
        <v>Munkanélküliségi ráta</v>
      </c>
      <c r="N36" s="20" t="str">
        <f t="shared" si="6"/>
        <v>Összes kiadás a szociális védelemre(GDPből)</v>
      </c>
      <c r="O36" s="20"/>
    </row>
    <row r="37" spans="1:14" ht="12.75">
      <c r="A37">
        <v>1</v>
      </c>
      <c r="B37" s="4">
        <v>208.7772463990539</v>
      </c>
      <c r="C37" s="4">
        <v>202.2135549969375</v>
      </c>
      <c r="D37" s="4">
        <v>182.17696274464018</v>
      </c>
      <c r="E37" s="4">
        <v>157.10633834730214</v>
      </c>
      <c r="F37" s="4">
        <v>148.23873172396188</v>
      </c>
      <c r="G37" s="4">
        <v>158.15893520869633</v>
      </c>
      <c r="I37">
        <f>B37-B38</f>
        <v>0</v>
      </c>
      <c r="J37">
        <f aca="true" t="shared" si="7" ref="J37:N49">C37-C38</f>
        <v>0</v>
      </c>
      <c r="K37">
        <f t="shared" si="7"/>
        <v>5.177564882188648</v>
      </c>
      <c r="L37">
        <f t="shared" si="7"/>
        <v>0</v>
      </c>
      <c r="M37">
        <f t="shared" si="7"/>
        <v>2.3809868832567815</v>
      </c>
      <c r="N37">
        <f t="shared" si="7"/>
        <v>2.3809848480378832</v>
      </c>
    </row>
    <row r="38" spans="1:14" ht="12.75">
      <c r="A38">
        <v>2</v>
      </c>
      <c r="B38" s="4">
        <v>208.7772463990539</v>
      </c>
      <c r="C38" s="4">
        <v>202.2135549969375</v>
      </c>
      <c r="D38" s="4">
        <v>176.99939786245153</v>
      </c>
      <c r="E38" s="4">
        <v>157.10633834730223</v>
      </c>
      <c r="F38" s="4">
        <v>145.8577448407051</v>
      </c>
      <c r="G38" s="4">
        <v>155.77795036065845</v>
      </c>
      <c r="I38">
        <f aca="true" t="shared" si="8" ref="I38:I49">B38-B39</f>
        <v>0</v>
      </c>
      <c r="J38">
        <f t="shared" si="7"/>
        <v>0</v>
      </c>
      <c r="K38">
        <f t="shared" si="7"/>
        <v>55.724780572672046</v>
      </c>
      <c r="L38">
        <f t="shared" si="7"/>
        <v>139.67125593838497</v>
      </c>
      <c r="M38">
        <f t="shared" si="7"/>
        <v>49.53026641834789</v>
      </c>
      <c r="N38">
        <f t="shared" si="7"/>
        <v>11.807242707746695</v>
      </c>
    </row>
    <row r="39" spans="1:14" ht="12.75">
      <c r="A39">
        <v>3</v>
      </c>
      <c r="B39" s="4">
        <v>208.7772463990539</v>
      </c>
      <c r="C39" s="4">
        <v>202.2135549969375</v>
      </c>
      <c r="D39" s="4">
        <v>121.27461728977948</v>
      </c>
      <c r="E39" s="4">
        <v>17.43508240891726</v>
      </c>
      <c r="F39" s="4">
        <v>96.3274784223572</v>
      </c>
      <c r="G39" s="4">
        <v>143.97070765291176</v>
      </c>
      <c r="I39">
        <f t="shared" si="8"/>
        <v>0</v>
      </c>
      <c r="J39">
        <f t="shared" si="7"/>
        <v>0</v>
      </c>
      <c r="K39">
        <f t="shared" si="7"/>
        <v>15.03590748357854</v>
      </c>
      <c r="L39">
        <f t="shared" si="7"/>
        <v>0</v>
      </c>
      <c r="M39">
        <f t="shared" si="7"/>
        <v>5.845149285961071</v>
      </c>
      <c r="N39">
        <f t="shared" si="7"/>
        <v>0</v>
      </c>
    </row>
    <row r="40" spans="1:14" ht="12.75">
      <c r="A40">
        <v>4</v>
      </c>
      <c r="B40" s="4">
        <v>208.7772463990539</v>
      </c>
      <c r="C40" s="4">
        <v>202.2135549969375</v>
      </c>
      <c r="D40" s="4">
        <v>106.23870980620094</v>
      </c>
      <c r="E40" s="4">
        <v>17.435082408917246</v>
      </c>
      <c r="F40" s="4">
        <v>90.48232913639613</v>
      </c>
      <c r="G40" s="4">
        <v>143.97070765291184</v>
      </c>
      <c r="I40">
        <f t="shared" si="8"/>
        <v>0</v>
      </c>
      <c r="J40">
        <f t="shared" si="7"/>
        <v>0</v>
      </c>
      <c r="K40">
        <f t="shared" si="7"/>
        <v>0</v>
      </c>
      <c r="L40">
        <f t="shared" si="7"/>
        <v>0</v>
      </c>
      <c r="M40">
        <f t="shared" si="7"/>
        <v>2.016490153579497</v>
      </c>
      <c r="N40">
        <f t="shared" si="7"/>
        <v>14.935045195674945</v>
      </c>
    </row>
    <row r="41" spans="1:14" ht="12.75">
      <c r="A41">
        <v>5</v>
      </c>
      <c r="B41" s="4">
        <v>208.7772463990539</v>
      </c>
      <c r="C41" s="4">
        <v>202.2135549969375</v>
      </c>
      <c r="D41" s="4">
        <v>106.23870980620097</v>
      </c>
      <c r="E41" s="4">
        <v>17.435082408917246</v>
      </c>
      <c r="F41" s="4">
        <v>88.46583898281663</v>
      </c>
      <c r="G41" s="4">
        <v>129.0356624572369</v>
      </c>
      <c r="I41">
        <f t="shared" si="8"/>
        <v>0</v>
      </c>
      <c r="J41">
        <f t="shared" si="7"/>
        <v>0</v>
      </c>
      <c r="K41">
        <f t="shared" si="7"/>
        <v>0</v>
      </c>
      <c r="L41">
        <f t="shared" si="7"/>
        <v>0</v>
      </c>
      <c r="M41">
        <f t="shared" si="7"/>
        <v>0</v>
      </c>
      <c r="N41">
        <f t="shared" si="7"/>
        <v>0</v>
      </c>
    </row>
    <row r="42" spans="1:14" ht="12.75">
      <c r="A42">
        <v>6</v>
      </c>
      <c r="B42" s="4">
        <v>208.7772463990539</v>
      </c>
      <c r="C42" s="4">
        <v>202.21355499693752</v>
      </c>
      <c r="D42" s="4">
        <v>106.23870980620097</v>
      </c>
      <c r="E42" s="4">
        <v>17.435082408917246</v>
      </c>
      <c r="F42" s="4">
        <v>88.46583898281663</v>
      </c>
      <c r="G42" s="4">
        <v>129.03566245723687</v>
      </c>
      <c r="I42">
        <f t="shared" si="8"/>
        <v>0</v>
      </c>
      <c r="J42">
        <f t="shared" si="7"/>
        <v>183.8988263580131</v>
      </c>
      <c r="K42">
        <f t="shared" si="7"/>
        <v>0</v>
      </c>
      <c r="L42">
        <f t="shared" si="7"/>
        <v>0</v>
      </c>
      <c r="M42">
        <f t="shared" si="7"/>
        <v>0</v>
      </c>
      <c r="N42">
        <f t="shared" si="7"/>
        <v>0</v>
      </c>
    </row>
    <row r="43" spans="1:14" ht="12.75">
      <c r="A43">
        <v>7</v>
      </c>
      <c r="B43" s="4">
        <v>208.7772463990539</v>
      </c>
      <c r="C43" s="4">
        <v>18.314728638924418</v>
      </c>
      <c r="D43" s="4">
        <v>106.23870980620097</v>
      </c>
      <c r="E43" s="4">
        <v>17.435082408917246</v>
      </c>
      <c r="F43" s="4">
        <v>88.46583898281665</v>
      </c>
      <c r="G43" s="4">
        <v>129.03566245723687</v>
      </c>
      <c r="I43">
        <f t="shared" si="8"/>
        <v>0</v>
      </c>
      <c r="J43">
        <f t="shared" si="7"/>
        <v>0</v>
      </c>
      <c r="K43">
        <f t="shared" si="7"/>
        <v>0</v>
      </c>
      <c r="L43">
        <f t="shared" si="7"/>
        <v>0</v>
      </c>
      <c r="M43">
        <f t="shared" si="7"/>
        <v>0</v>
      </c>
      <c r="N43">
        <f t="shared" si="7"/>
        <v>0</v>
      </c>
    </row>
    <row r="44" spans="1:14" ht="12.75">
      <c r="A44">
        <v>8</v>
      </c>
      <c r="B44" s="4">
        <v>208.7772463990539</v>
      </c>
      <c r="C44" s="4">
        <v>18.314728638924404</v>
      </c>
      <c r="D44" s="4">
        <v>106.23870980620097</v>
      </c>
      <c r="E44" s="4">
        <v>17.435082408917246</v>
      </c>
      <c r="F44" s="4">
        <v>88.46583898281665</v>
      </c>
      <c r="G44" s="4">
        <v>129.03566245723678</v>
      </c>
      <c r="I44">
        <f t="shared" si="8"/>
        <v>0</v>
      </c>
      <c r="J44">
        <f t="shared" si="7"/>
        <v>0</v>
      </c>
      <c r="K44">
        <f t="shared" si="7"/>
        <v>0</v>
      </c>
      <c r="L44">
        <f t="shared" si="7"/>
        <v>0</v>
      </c>
      <c r="M44">
        <f t="shared" si="7"/>
        <v>0</v>
      </c>
      <c r="N44">
        <f t="shared" si="7"/>
        <v>0</v>
      </c>
    </row>
    <row r="45" spans="1:14" ht="12.75">
      <c r="A45">
        <v>9</v>
      </c>
      <c r="B45" s="4">
        <v>208.7772463990539</v>
      </c>
      <c r="C45" s="4">
        <v>18.314728638924404</v>
      </c>
      <c r="D45" s="4">
        <v>106.23870980620097</v>
      </c>
      <c r="E45" s="4">
        <v>17.435082408917246</v>
      </c>
      <c r="F45" s="4">
        <v>88.46583898281666</v>
      </c>
      <c r="G45" s="4">
        <v>129.03566245723678</v>
      </c>
      <c r="I45">
        <f t="shared" si="8"/>
        <v>0</v>
      </c>
      <c r="J45">
        <f t="shared" si="7"/>
        <v>0</v>
      </c>
      <c r="K45">
        <f t="shared" si="7"/>
        <v>0</v>
      </c>
      <c r="L45">
        <f t="shared" si="7"/>
        <v>0</v>
      </c>
      <c r="M45">
        <f t="shared" si="7"/>
        <v>0</v>
      </c>
      <c r="N45">
        <f t="shared" si="7"/>
        <v>0</v>
      </c>
    </row>
    <row r="46" spans="1:14" ht="12.75">
      <c r="A46">
        <v>10</v>
      </c>
      <c r="B46" s="4">
        <v>208.7772463990539</v>
      </c>
      <c r="C46" s="4">
        <v>18.314728638924404</v>
      </c>
      <c r="D46" s="4">
        <v>106.23870980620097</v>
      </c>
      <c r="E46" s="4">
        <v>17.435082408917246</v>
      </c>
      <c r="F46" s="4">
        <v>88.46583898281666</v>
      </c>
      <c r="G46" s="4">
        <v>129.03566245723678</v>
      </c>
      <c r="I46">
        <f t="shared" si="8"/>
        <v>0</v>
      </c>
      <c r="J46">
        <f t="shared" si="7"/>
        <v>0</v>
      </c>
      <c r="K46">
        <f t="shared" si="7"/>
        <v>0</v>
      </c>
      <c r="L46">
        <f t="shared" si="7"/>
        <v>0</v>
      </c>
      <c r="M46">
        <f t="shared" si="7"/>
        <v>0</v>
      </c>
      <c r="N46">
        <f t="shared" si="7"/>
        <v>0</v>
      </c>
    </row>
    <row r="47" spans="1:14" ht="12.75">
      <c r="A47">
        <v>11</v>
      </c>
      <c r="B47" s="4">
        <v>208.7772463990539</v>
      </c>
      <c r="C47" s="4">
        <v>18.314728638924418</v>
      </c>
      <c r="D47" s="4">
        <v>106.238709806201</v>
      </c>
      <c r="E47" s="4">
        <v>17.435082408917246</v>
      </c>
      <c r="F47" s="4">
        <v>88.46583898281666</v>
      </c>
      <c r="G47" s="4">
        <v>129.03566245723678</v>
      </c>
      <c r="I47">
        <f t="shared" si="8"/>
        <v>0</v>
      </c>
      <c r="J47">
        <f t="shared" si="7"/>
        <v>4.289165746307431</v>
      </c>
      <c r="K47">
        <f t="shared" si="7"/>
        <v>0</v>
      </c>
      <c r="L47">
        <f t="shared" si="7"/>
        <v>0</v>
      </c>
      <c r="M47">
        <f t="shared" si="7"/>
        <v>0</v>
      </c>
      <c r="N47">
        <f t="shared" si="7"/>
        <v>0</v>
      </c>
    </row>
    <row r="48" spans="1:14" ht="12.75">
      <c r="A48">
        <v>12</v>
      </c>
      <c r="B48" s="4">
        <v>208.77724639905398</v>
      </c>
      <c r="C48" s="4">
        <v>14.025562892616987</v>
      </c>
      <c r="D48" s="4">
        <v>106.23870980620097</v>
      </c>
      <c r="E48" s="4">
        <v>17.435082408917246</v>
      </c>
      <c r="F48" s="4">
        <v>88.46583898281666</v>
      </c>
      <c r="G48" s="4">
        <v>129.03566245723684</v>
      </c>
      <c r="I48">
        <f t="shared" si="8"/>
        <v>190.06483230882054</v>
      </c>
      <c r="J48">
        <f t="shared" si="7"/>
        <v>0</v>
      </c>
      <c r="K48">
        <f t="shared" si="7"/>
        <v>0</v>
      </c>
      <c r="L48">
        <f t="shared" si="7"/>
        <v>0</v>
      </c>
      <c r="M48">
        <f t="shared" si="7"/>
        <v>0</v>
      </c>
      <c r="N48">
        <f t="shared" si="7"/>
        <v>18.984693484458006</v>
      </c>
    </row>
    <row r="49" spans="1:14" ht="12.75">
      <c r="A49">
        <v>13</v>
      </c>
      <c r="B49" s="4">
        <v>18.71241409023344</v>
      </c>
      <c r="C49" s="4">
        <v>14.02556289261699</v>
      </c>
      <c r="D49" s="4">
        <v>106.23870980620097</v>
      </c>
      <c r="E49" s="4">
        <v>17.435082408917246</v>
      </c>
      <c r="F49" s="4">
        <v>88.46583898281665</v>
      </c>
      <c r="G49" s="4">
        <v>110.05096897277883</v>
      </c>
      <c r="I49">
        <f t="shared" si="8"/>
        <v>8.526512829121202E-14</v>
      </c>
      <c r="J49">
        <f t="shared" si="7"/>
        <v>3.6981013005727252</v>
      </c>
      <c r="K49">
        <f t="shared" si="7"/>
        <v>0</v>
      </c>
      <c r="L49">
        <f t="shared" si="7"/>
        <v>0</v>
      </c>
      <c r="M49">
        <f t="shared" si="7"/>
        <v>4.876547347145362</v>
      </c>
      <c r="N49">
        <f t="shared" si="7"/>
        <v>33.74723122399405</v>
      </c>
    </row>
    <row r="50" spans="1:7" ht="12.75">
      <c r="A50">
        <v>14</v>
      </c>
      <c r="B50" s="4">
        <v>18.712414090233356</v>
      </c>
      <c r="C50" s="4">
        <v>10.327461592044266</v>
      </c>
      <c r="D50" s="4">
        <v>106.23870980620089</v>
      </c>
      <c r="E50" s="4">
        <v>17.435082408917246</v>
      </c>
      <c r="F50" s="4">
        <v>83.58929163567129</v>
      </c>
      <c r="G50" s="4">
        <v>76.30373774878478</v>
      </c>
    </row>
    <row r="53" spans="2:7" ht="12.75">
      <c r="B53">
        <v>2</v>
      </c>
      <c r="C53">
        <v>3</v>
      </c>
      <c r="D53">
        <v>4</v>
      </c>
      <c r="E53">
        <v>5</v>
      </c>
      <c r="F53">
        <v>6</v>
      </c>
      <c r="G53">
        <v>7</v>
      </c>
    </row>
    <row r="54" spans="1:12" ht="51">
      <c r="A54" s="1" t="s">
        <v>93</v>
      </c>
      <c r="B54" s="20" t="str">
        <f>B1</f>
        <v>100 ezer lakosra jutó kórházi ágyak száma</v>
      </c>
      <c r="C54" s="20" t="str">
        <f aca="true" t="shared" si="9" ref="C54:H54">C1</f>
        <v>egészségben eltöltött évek férfiaknál</v>
      </c>
      <c r="D54" s="20" t="str">
        <f t="shared" si="9"/>
        <v>egészségben eltöltött évek nőknél</v>
      </c>
      <c r="E54" s="20" t="str">
        <f t="shared" si="9"/>
        <v>GDP növekedésének üteme</v>
      </c>
      <c r="F54" s="20" t="str">
        <f t="shared" si="9"/>
        <v>Munkanélküliségi ráta</v>
      </c>
      <c r="G54" s="20" t="str">
        <f t="shared" si="9"/>
        <v>Összes kiadás a szociális védelemre(GDPből)</v>
      </c>
      <c r="H54" s="20" t="str">
        <f t="shared" si="9"/>
        <v>Halálozások száma</v>
      </c>
      <c r="I54" t="s">
        <v>88</v>
      </c>
      <c r="J54" t="s">
        <v>89</v>
      </c>
      <c r="K54" t="s">
        <v>40</v>
      </c>
      <c r="L54" t="s">
        <v>90</v>
      </c>
    </row>
    <row r="55" spans="1:12" ht="12.75">
      <c r="A55" t="str">
        <f>A3</f>
        <v>Ausztria</v>
      </c>
      <c r="B55" s="4">
        <f aca="true" t="shared" si="10" ref="B55:G55">VLOOKUP(B20,$A$37:$G$50,B$53,0)</f>
        <v>18.71241409023344</v>
      </c>
      <c r="C55" s="4">
        <f t="shared" si="10"/>
        <v>202.2135549969375</v>
      </c>
      <c r="D55" s="4">
        <f t="shared" si="10"/>
        <v>106.23870980620094</v>
      </c>
      <c r="E55" s="4">
        <f t="shared" si="10"/>
        <v>17.435082408917246</v>
      </c>
      <c r="F55" s="4">
        <f t="shared" si="10"/>
        <v>88.46583898281666</v>
      </c>
      <c r="G55" s="4">
        <f t="shared" si="10"/>
        <v>129.03566245723678</v>
      </c>
      <c r="H55" s="4">
        <f>H3</f>
        <v>562.1</v>
      </c>
      <c r="I55" s="4">
        <f>SUM(B55:G55)</f>
        <v>562.1012627423426</v>
      </c>
      <c r="J55" s="4">
        <f>I55-H55</f>
        <v>0.0012627423425328743</v>
      </c>
      <c r="K55" s="22">
        <f>J55/H55</f>
        <v>2.246472767359677E-06</v>
      </c>
      <c r="L55" t="str">
        <f>IF(ABS(K55)&lt;0.05,"kiegyenlített",IF(K55&gt;=0.05,"statisztikához képest alacsony","statisztikához képest magas"))</f>
        <v>kiegyenlített</v>
      </c>
    </row>
    <row r="56" spans="1:12" ht="12.75">
      <c r="A56" t="str">
        <f aca="true" t="shared" si="11" ref="A56:A68">A4</f>
        <v>Ciprus</v>
      </c>
      <c r="B56" s="4">
        <f aca="true" t="shared" si="12" ref="B56:G68">VLOOKUP(B21,$A$37:$G$50,B$53,0)</f>
        <v>208.7772463990539</v>
      </c>
      <c r="C56" s="4">
        <f t="shared" si="12"/>
        <v>18.314728638924418</v>
      </c>
      <c r="D56" s="4">
        <f t="shared" si="12"/>
        <v>106.23870980620097</v>
      </c>
      <c r="E56" s="4">
        <f t="shared" si="12"/>
        <v>17.435082408917246</v>
      </c>
      <c r="F56" s="4">
        <f t="shared" si="12"/>
        <v>88.46583898281666</v>
      </c>
      <c r="G56" s="4">
        <f t="shared" si="12"/>
        <v>143.97070765291176</v>
      </c>
      <c r="H56" s="4">
        <f aca="true" t="shared" si="13" ref="H56:H68">H4</f>
        <v>583.2</v>
      </c>
      <c r="I56" s="4">
        <f aca="true" t="shared" si="14" ref="I56:I68">SUM(B56:G56)</f>
        <v>583.2023138888248</v>
      </c>
      <c r="J56" s="4">
        <f aca="true" t="shared" si="15" ref="J56:J68">I56-H56</f>
        <v>0.0023138888248013245</v>
      </c>
      <c r="K56" s="22">
        <f aca="true" t="shared" si="16" ref="K56:K68">J56/H56</f>
        <v>3.967573430729294E-06</v>
      </c>
      <c r="L56" t="str">
        <f aca="true" t="shared" si="17" ref="L56:L68">IF(ABS(K56)&lt;0.05,"kiegyenlített",IF(K56&gt;=0.05,"statisztikához képest alacsony","statisztikához képest magas"))</f>
        <v>kiegyenlített</v>
      </c>
    </row>
    <row r="57" spans="1:12" ht="12.75">
      <c r="A57" t="str">
        <f t="shared" si="11"/>
        <v>Csehország</v>
      </c>
      <c r="B57" s="4">
        <f t="shared" si="12"/>
        <v>208.77724639905398</v>
      </c>
      <c r="C57" s="4">
        <f t="shared" si="12"/>
        <v>202.21355499693752</v>
      </c>
      <c r="D57" s="4">
        <f t="shared" si="12"/>
        <v>106.23870980620097</v>
      </c>
      <c r="E57" s="4">
        <f t="shared" si="12"/>
        <v>17.435082408917246</v>
      </c>
      <c r="F57" s="4">
        <f t="shared" si="12"/>
        <v>88.46583898281665</v>
      </c>
      <c r="G57" s="4">
        <f t="shared" si="12"/>
        <v>143.97070765291184</v>
      </c>
      <c r="H57" s="4">
        <f t="shared" si="13"/>
        <v>767.1</v>
      </c>
      <c r="I57" s="4">
        <f t="shared" si="14"/>
        <v>767.1011402468382</v>
      </c>
      <c r="J57" s="4">
        <f t="shared" si="15"/>
        <v>0.0011402468381902509</v>
      </c>
      <c r="K57" s="22">
        <f t="shared" si="16"/>
        <v>1.4864383238042638E-06</v>
      </c>
      <c r="L57" t="str">
        <f t="shared" si="17"/>
        <v>kiegyenlített</v>
      </c>
    </row>
    <row r="58" spans="1:12" ht="12.75">
      <c r="A58" t="str">
        <f t="shared" si="11"/>
        <v>Dánia</v>
      </c>
      <c r="B58" s="4">
        <f t="shared" si="12"/>
        <v>208.7772463990539</v>
      </c>
      <c r="C58" s="4">
        <f t="shared" si="12"/>
        <v>14.02556289261699</v>
      </c>
      <c r="D58" s="4">
        <f t="shared" si="12"/>
        <v>106.23870980620089</v>
      </c>
      <c r="E58" s="4">
        <f t="shared" si="12"/>
        <v>157.10633834730223</v>
      </c>
      <c r="F58" s="4">
        <f t="shared" si="12"/>
        <v>88.46583898281666</v>
      </c>
      <c r="G58" s="4">
        <f t="shared" si="12"/>
        <v>129.03566245723684</v>
      </c>
      <c r="H58" s="4">
        <f t="shared" si="13"/>
        <v>703.65</v>
      </c>
      <c r="I58" s="4">
        <f t="shared" si="14"/>
        <v>703.6493588852275</v>
      </c>
      <c r="J58" s="4">
        <f t="shared" si="15"/>
        <v>-0.0006411147725202682</v>
      </c>
      <c r="K58" s="22">
        <f t="shared" si="16"/>
        <v>-9.111273680384682E-07</v>
      </c>
      <c r="L58" t="str">
        <f t="shared" si="17"/>
        <v>kiegyenlített</v>
      </c>
    </row>
    <row r="59" spans="1:12" ht="12.75">
      <c r="A59" t="str">
        <f t="shared" si="11"/>
        <v>Egyesült Királyság</v>
      </c>
      <c r="B59" s="4">
        <f t="shared" si="12"/>
        <v>208.7772463990539</v>
      </c>
      <c r="C59" s="4">
        <f t="shared" si="12"/>
        <v>18.314728638924404</v>
      </c>
      <c r="D59" s="4">
        <f t="shared" si="12"/>
        <v>106.23870980620097</v>
      </c>
      <c r="E59" s="4">
        <f t="shared" si="12"/>
        <v>17.435082408917246</v>
      </c>
      <c r="F59" s="4">
        <f t="shared" si="12"/>
        <v>88.46583898281665</v>
      </c>
      <c r="G59" s="4">
        <f t="shared" si="12"/>
        <v>129.03566245723678</v>
      </c>
      <c r="H59" s="4">
        <f t="shared" si="13"/>
        <v>598.7</v>
      </c>
      <c r="I59" s="4">
        <f t="shared" si="14"/>
        <v>568.26726869315</v>
      </c>
      <c r="J59" s="4">
        <f t="shared" si="15"/>
        <v>-30.432731306850087</v>
      </c>
      <c r="K59" s="22">
        <f t="shared" si="16"/>
        <v>-0.05083135344387855</v>
      </c>
      <c r="L59" t="str">
        <f t="shared" si="17"/>
        <v>statisztikához képest magas</v>
      </c>
    </row>
    <row r="60" spans="1:12" ht="12.75">
      <c r="A60" t="str">
        <f t="shared" si="11"/>
        <v>Franciaország</v>
      </c>
      <c r="B60" s="4">
        <f t="shared" si="12"/>
        <v>208.7772463990539</v>
      </c>
      <c r="C60" s="4">
        <f t="shared" si="12"/>
        <v>18.314728638924404</v>
      </c>
      <c r="D60" s="4">
        <f t="shared" si="12"/>
        <v>106.23870980620097</v>
      </c>
      <c r="E60" s="4">
        <f t="shared" si="12"/>
        <v>17.435082408917246</v>
      </c>
      <c r="F60" s="4">
        <f t="shared" si="12"/>
        <v>96.3274784223572</v>
      </c>
      <c r="G60" s="4">
        <f t="shared" si="12"/>
        <v>76.30373774878478</v>
      </c>
      <c r="H60" s="4">
        <f t="shared" si="13"/>
        <v>523.4</v>
      </c>
      <c r="I60" s="4">
        <f t="shared" si="14"/>
        <v>523.3969834242384</v>
      </c>
      <c r="J60" s="4">
        <f t="shared" si="15"/>
        <v>-0.003016575761535023</v>
      </c>
      <c r="K60" s="22">
        <f t="shared" si="16"/>
        <v>-5.763423312065386E-06</v>
      </c>
      <c r="L60" t="str">
        <f t="shared" si="17"/>
        <v>kiegyenlített</v>
      </c>
    </row>
    <row r="61" spans="1:12" ht="12.75">
      <c r="A61" t="str">
        <f t="shared" si="11"/>
        <v>Hollandia</v>
      </c>
      <c r="B61" s="4">
        <f t="shared" si="12"/>
        <v>208.7772463990539</v>
      </c>
      <c r="C61" s="4">
        <f t="shared" si="12"/>
        <v>18.314728638924418</v>
      </c>
      <c r="D61" s="4">
        <f t="shared" si="12"/>
        <v>106.23870980620097</v>
      </c>
      <c r="E61" s="4">
        <f t="shared" si="12"/>
        <v>17.435082408917246</v>
      </c>
      <c r="F61" s="4">
        <f t="shared" si="12"/>
        <v>88.46583898281665</v>
      </c>
      <c r="G61" s="4">
        <f t="shared" si="12"/>
        <v>129.03566245723678</v>
      </c>
      <c r="H61" s="4">
        <f t="shared" si="13"/>
        <v>571.9</v>
      </c>
      <c r="I61" s="4">
        <f t="shared" si="14"/>
        <v>568.26726869315</v>
      </c>
      <c r="J61" s="4">
        <f t="shared" si="15"/>
        <v>-3.632731306850019</v>
      </c>
      <c r="K61" s="22">
        <f t="shared" si="16"/>
        <v>-0.006352039354520054</v>
      </c>
      <c r="L61" t="str">
        <f t="shared" si="17"/>
        <v>kiegyenlített</v>
      </c>
    </row>
    <row r="62" spans="1:12" ht="12.75">
      <c r="A62" t="str">
        <f t="shared" si="11"/>
        <v>Lengyelország</v>
      </c>
      <c r="B62" s="4">
        <f t="shared" si="12"/>
        <v>208.7772463990539</v>
      </c>
      <c r="C62" s="4">
        <f t="shared" si="12"/>
        <v>202.2135549969375</v>
      </c>
      <c r="D62" s="4">
        <f t="shared" si="12"/>
        <v>106.23870980620097</v>
      </c>
      <c r="E62" s="4">
        <f t="shared" si="12"/>
        <v>17.435082408917246</v>
      </c>
      <c r="F62" s="4">
        <f t="shared" si="12"/>
        <v>145.8577448407051</v>
      </c>
      <c r="G62" s="4">
        <f t="shared" si="12"/>
        <v>155.77795036065845</v>
      </c>
      <c r="H62" s="4">
        <f t="shared" si="13"/>
        <v>836.3</v>
      </c>
      <c r="I62" s="4">
        <f t="shared" si="14"/>
        <v>836.3002888124731</v>
      </c>
      <c r="J62" s="4">
        <f t="shared" si="15"/>
        <v>0.00028881247317258385</v>
      </c>
      <c r="K62" s="22">
        <f t="shared" si="16"/>
        <v>3.453455376929139E-07</v>
      </c>
      <c r="L62" t="str">
        <f t="shared" si="17"/>
        <v>kiegyenlített</v>
      </c>
    </row>
    <row r="63" spans="1:12" ht="12.75">
      <c r="A63" s="29" t="str">
        <f t="shared" si="11"/>
        <v>Magyarország</v>
      </c>
      <c r="B63" s="30">
        <f t="shared" si="12"/>
        <v>208.7772463990539</v>
      </c>
      <c r="C63" s="30">
        <f t="shared" si="12"/>
        <v>202.2135549969375</v>
      </c>
      <c r="D63" s="30">
        <f t="shared" si="12"/>
        <v>176.99939786245153</v>
      </c>
      <c r="E63" s="30">
        <f t="shared" si="12"/>
        <v>157.10633834730214</v>
      </c>
      <c r="F63" s="30">
        <f t="shared" si="12"/>
        <v>88.46583898281663</v>
      </c>
      <c r="G63" s="30">
        <f t="shared" si="12"/>
        <v>129.03566245723687</v>
      </c>
      <c r="H63" s="30">
        <f t="shared" si="13"/>
        <v>962.6</v>
      </c>
      <c r="I63" s="30">
        <f t="shared" si="14"/>
        <v>962.5980390457987</v>
      </c>
      <c r="J63" s="30">
        <f t="shared" si="15"/>
        <v>-0.0019609542013085957</v>
      </c>
      <c r="K63" s="31">
        <f t="shared" si="16"/>
        <v>-2.0371433630880904E-06</v>
      </c>
      <c r="L63" s="29" t="str">
        <f t="shared" si="17"/>
        <v>kiegyenlített</v>
      </c>
    </row>
    <row r="64" spans="1:12" ht="12.75">
      <c r="A64" t="str">
        <f t="shared" si="11"/>
        <v>Németország</v>
      </c>
      <c r="B64" s="4">
        <f t="shared" si="12"/>
        <v>18.712414090233356</v>
      </c>
      <c r="C64" s="4">
        <f t="shared" si="12"/>
        <v>202.2135549969375</v>
      </c>
      <c r="D64" s="4">
        <f t="shared" si="12"/>
        <v>121.27461728977948</v>
      </c>
      <c r="E64" s="4">
        <f t="shared" si="12"/>
        <v>17.435082408917246</v>
      </c>
      <c r="F64" s="4">
        <f t="shared" si="12"/>
        <v>96.3274784223572</v>
      </c>
      <c r="G64" s="4">
        <f t="shared" si="12"/>
        <v>129.03566245723678</v>
      </c>
      <c r="H64" s="4">
        <f t="shared" si="13"/>
        <v>585</v>
      </c>
      <c r="I64" s="4">
        <f t="shared" si="14"/>
        <v>584.9988096654616</v>
      </c>
      <c r="J64" s="4">
        <f t="shared" si="15"/>
        <v>-0.0011903345383643682</v>
      </c>
      <c r="K64" s="22">
        <f t="shared" si="16"/>
        <v>-2.0347598946399457E-06</v>
      </c>
      <c r="L64" t="str">
        <f t="shared" si="17"/>
        <v>kiegyenlített</v>
      </c>
    </row>
    <row r="65" spans="1:12" ht="12.75">
      <c r="A65" t="str">
        <f t="shared" si="11"/>
        <v>Norvégia</v>
      </c>
      <c r="B65" s="4">
        <f t="shared" si="12"/>
        <v>208.7772463990539</v>
      </c>
      <c r="C65" s="4">
        <f t="shared" si="12"/>
        <v>14.025562892616987</v>
      </c>
      <c r="D65" s="4">
        <f t="shared" si="12"/>
        <v>106.238709806201</v>
      </c>
      <c r="E65" s="4">
        <f t="shared" si="12"/>
        <v>17.43508240891726</v>
      </c>
      <c r="F65" s="4">
        <f t="shared" si="12"/>
        <v>83.58929163567129</v>
      </c>
      <c r="G65" s="4">
        <f t="shared" si="12"/>
        <v>129.03566245723687</v>
      </c>
      <c r="H65" s="4">
        <f t="shared" si="13"/>
        <v>559.1</v>
      </c>
      <c r="I65" s="4">
        <f t="shared" si="14"/>
        <v>559.1015555996972</v>
      </c>
      <c r="J65" s="4">
        <f t="shared" si="15"/>
        <v>0.0015555996972125286</v>
      </c>
      <c r="K65" s="22">
        <f t="shared" si="16"/>
        <v>2.7823282010597897E-06</v>
      </c>
      <c r="L65" t="str">
        <f t="shared" si="17"/>
        <v>kiegyenlített</v>
      </c>
    </row>
    <row r="66" spans="1:12" ht="12.75">
      <c r="A66" t="str">
        <f t="shared" si="11"/>
        <v>Spanyolország</v>
      </c>
      <c r="B66" s="4">
        <f t="shared" si="12"/>
        <v>208.7772463990539</v>
      </c>
      <c r="C66" s="4">
        <f t="shared" si="12"/>
        <v>18.314728638924404</v>
      </c>
      <c r="D66" s="4">
        <f t="shared" si="12"/>
        <v>106.23870980620097</v>
      </c>
      <c r="E66" s="4">
        <f t="shared" si="12"/>
        <v>17.43508240891726</v>
      </c>
      <c r="F66" s="4">
        <f t="shared" si="12"/>
        <v>88.46583898281663</v>
      </c>
      <c r="G66" s="4">
        <f t="shared" si="12"/>
        <v>129.0356624572369</v>
      </c>
      <c r="H66" s="4">
        <f t="shared" si="13"/>
        <v>534.2</v>
      </c>
      <c r="I66" s="4">
        <f t="shared" si="14"/>
        <v>568.2672686931501</v>
      </c>
      <c r="J66" s="4">
        <f t="shared" si="15"/>
        <v>34.06726869315003</v>
      </c>
      <c r="K66" s="22">
        <f t="shared" si="16"/>
        <v>0.06377249848961068</v>
      </c>
      <c r="L66" t="str">
        <f t="shared" si="17"/>
        <v>statisztikához képest alacsony</v>
      </c>
    </row>
    <row r="67" spans="1:12" ht="12.75">
      <c r="A67" t="str">
        <f t="shared" si="11"/>
        <v>Svédország</v>
      </c>
      <c r="B67" s="4">
        <f t="shared" si="12"/>
        <v>208.7772463990539</v>
      </c>
      <c r="C67" s="4">
        <f t="shared" si="12"/>
        <v>10.327461592044266</v>
      </c>
      <c r="D67" s="4">
        <f t="shared" si="12"/>
        <v>106.23870980620097</v>
      </c>
      <c r="E67" s="4">
        <f t="shared" si="12"/>
        <v>17.435082408917246</v>
      </c>
      <c r="F67" s="4">
        <f t="shared" si="12"/>
        <v>88.46583898281665</v>
      </c>
      <c r="G67" s="4">
        <f t="shared" si="12"/>
        <v>110.05096897277883</v>
      </c>
      <c r="H67" s="4">
        <f t="shared" si="13"/>
        <v>541.3</v>
      </c>
      <c r="I67" s="4">
        <f t="shared" si="14"/>
        <v>541.2953081618118</v>
      </c>
      <c r="J67" s="4">
        <f t="shared" si="15"/>
        <v>-0.004691838188136899</v>
      </c>
      <c r="K67" s="22">
        <f t="shared" si="16"/>
        <v>-8.667722497943653E-06</v>
      </c>
      <c r="L67" t="str">
        <f t="shared" si="17"/>
        <v>kiegyenlített</v>
      </c>
    </row>
    <row r="68" spans="1:12" ht="12.75">
      <c r="A68" t="str">
        <f t="shared" si="11"/>
        <v>Szlovákia</v>
      </c>
      <c r="B68" s="4">
        <f t="shared" si="12"/>
        <v>208.7772463990539</v>
      </c>
      <c r="C68" s="4">
        <f t="shared" si="12"/>
        <v>202.2135549969375</v>
      </c>
      <c r="D68" s="4">
        <f t="shared" si="12"/>
        <v>182.17696274464018</v>
      </c>
      <c r="E68" s="4">
        <f t="shared" si="12"/>
        <v>17.435082408917246</v>
      </c>
      <c r="F68" s="4">
        <f t="shared" si="12"/>
        <v>148.23873172396188</v>
      </c>
      <c r="G68" s="4">
        <f t="shared" si="12"/>
        <v>158.15893520869633</v>
      </c>
      <c r="H68" s="4">
        <f t="shared" si="13"/>
        <v>917</v>
      </c>
      <c r="I68" s="4">
        <f t="shared" si="14"/>
        <v>917.000513482207</v>
      </c>
      <c r="J68" s="4">
        <f t="shared" si="15"/>
        <v>0.0005134822069976508</v>
      </c>
      <c r="K68" s="22">
        <f t="shared" si="16"/>
        <v>5.599587862569801E-07</v>
      </c>
      <c r="L68" t="str">
        <f t="shared" si="17"/>
        <v>kiegyenlített</v>
      </c>
    </row>
    <row r="69" spans="9:10" ht="12.75">
      <c r="I69" t="s">
        <v>94</v>
      </c>
      <c r="J69" s="4">
        <f>SUMPRODUCT(J55:J68,J55:J68)</f>
        <v>2099.926715556052</v>
      </c>
    </row>
    <row r="70" spans="1:7" ht="12.75">
      <c r="A70" t="s">
        <v>95</v>
      </c>
      <c r="B70" s="4">
        <f aca="true" t="shared" si="18" ref="B70:G70">AVERAGE(B55:B68)</f>
        <v>181.62512749779384</v>
      </c>
      <c r="C70" s="4">
        <f t="shared" si="18"/>
        <v>95.94525432525181</v>
      </c>
      <c r="D70" s="4">
        <f t="shared" si="18"/>
        <v>117.79119898322013</v>
      </c>
      <c r="E70" s="4">
        <f t="shared" si="18"/>
        <v>37.38811897154367</v>
      </c>
      <c r="F70" s="4">
        <f t="shared" si="18"/>
        <v>97.6095197064573</v>
      </c>
      <c r="G70" s="4">
        <f t="shared" si="18"/>
        <v>130.03702194675975</v>
      </c>
    </row>
    <row r="72" spans="1:7" ht="12.75">
      <c r="A72" t="s">
        <v>96</v>
      </c>
      <c r="B72" s="4">
        <f aca="true" t="shared" si="19" ref="B72:G72">STDEV(B55:B68)</f>
        <v>69.0194817032261</v>
      </c>
      <c r="C72" s="4">
        <f t="shared" si="19"/>
        <v>95.53182356556418</v>
      </c>
      <c r="D72" s="4">
        <f t="shared" si="19"/>
        <v>26.503021106164088</v>
      </c>
      <c r="E72" s="4">
        <f t="shared" si="19"/>
        <v>50.71973376980493</v>
      </c>
      <c r="F72" s="4">
        <f t="shared" si="19"/>
        <v>21.201459433739597</v>
      </c>
      <c r="G72" s="4">
        <f t="shared" si="19"/>
        <v>19.87743697035219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9"/>
  <sheetViews>
    <sheetView zoomScalePageLayoutView="0" workbookViewId="0" topLeftCell="G1">
      <selection activeCell="C9" sqref="C9"/>
    </sheetView>
  </sheetViews>
  <sheetFormatPr defaultColWidth="9.140625" defaultRowHeight="12.75"/>
  <cols>
    <col min="1" max="1" width="16.7109375" style="0" bestFit="1" customWidth="1"/>
    <col min="2" max="8" width="40.28125" style="0" customWidth="1"/>
    <col min="9" max="9" width="10.28125" style="0" customWidth="1"/>
    <col min="10" max="10" width="17.57421875" style="0" bestFit="1" customWidth="1"/>
    <col min="11" max="11" width="26.8515625" style="0" bestFit="1" customWidth="1"/>
    <col min="12" max="12" width="19.28125" style="0" bestFit="1" customWidth="1"/>
    <col min="13" max="13" width="28.57421875" style="0" bestFit="1" customWidth="1"/>
    <col min="14" max="14" width="40.28125" style="0" bestFit="1" customWidth="1"/>
    <col min="15" max="15" width="49.57421875" style="0" bestFit="1" customWidth="1"/>
    <col min="16" max="16" width="10.28125" style="0" customWidth="1"/>
  </cols>
  <sheetData>
    <row r="3" spans="1:8" ht="12.75">
      <c r="A3" s="5" t="s">
        <v>82</v>
      </c>
      <c r="B3" s="5" t="s">
        <v>29</v>
      </c>
      <c r="C3" s="6" t="s">
        <v>33</v>
      </c>
      <c r="D3" s="7"/>
      <c r="E3" s="7"/>
      <c r="F3" s="7"/>
      <c r="G3" s="7"/>
      <c r="H3" s="8"/>
    </row>
    <row r="4" spans="1:8" ht="12.75">
      <c r="A4" s="9"/>
      <c r="B4" s="10" t="s">
        <v>42</v>
      </c>
      <c r="C4" s="10" t="s">
        <v>35</v>
      </c>
      <c r="D4" s="10" t="s">
        <v>34</v>
      </c>
      <c r="E4" s="10" t="s">
        <v>36</v>
      </c>
      <c r="F4" s="10" t="s">
        <v>37</v>
      </c>
      <c r="G4" s="10" t="s">
        <v>41</v>
      </c>
      <c r="H4" s="11" t="s">
        <v>38</v>
      </c>
    </row>
    <row r="5" spans="1:8" ht="12.75">
      <c r="A5" s="5" t="s">
        <v>28</v>
      </c>
      <c r="B5" s="10" t="s">
        <v>39</v>
      </c>
      <c r="C5" s="10" t="s">
        <v>39</v>
      </c>
      <c r="D5" s="10" t="s">
        <v>39</v>
      </c>
      <c r="E5" s="10" t="s">
        <v>40</v>
      </c>
      <c r="F5" s="10" t="s">
        <v>40</v>
      </c>
      <c r="G5" s="10" t="s">
        <v>40</v>
      </c>
      <c r="H5" s="11" t="s">
        <v>91</v>
      </c>
    </row>
    <row r="6" spans="1:8" ht="12.75">
      <c r="A6" s="10" t="s">
        <v>4</v>
      </c>
      <c r="B6" s="23">
        <v>777.9</v>
      </c>
      <c r="C6" s="23">
        <v>58.4</v>
      </c>
      <c r="D6" s="23">
        <v>61.1</v>
      </c>
      <c r="E6" s="23">
        <v>3.1</v>
      </c>
      <c r="F6" s="23">
        <v>4.4</v>
      </c>
      <c r="G6" s="23">
        <v>28</v>
      </c>
      <c r="H6" s="24">
        <v>562.1</v>
      </c>
    </row>
    <row r="7" spans="1:8" ht="12.75">
      <c r="A7" s="14" t="s">
        <v>26</v>
      </c>
      <c r="B7" s="25">
        <v>375.5</v>
      </c>
      <c r="C7" s="25">
        <v>63</v>
      </c>
      <c r="D7" s="25">
        <v>62.7</v>
      </c>
      <c r="E7" s="25">
        <v>3.6</v>
      </c>
      <c r="F7" s="25">
        <v>4</v>
      </c>
      <c r="G7" s="25">
        <v>18.5</v>
      </c>
      <c r="H7" s="26">
        <v>583.2</v>
      </c>
    </row>
    <row r="8" spans="1:8" ht="12.75">
      <c r="A8" s="14" t="s">
        <v>20</v>
      </c>
      <c r="B8" s="25">
        <v>727.3</v>
      </c>
      <c r="C8" s="25">
        <v>61.3</v>
      </c>
      <c r="D8" s="25">
        <v>63.2</v>
      </c>
      <c r="E8" s="25">
        <v>5.6</v>
      </c>
      <c r="F8" s="25">
        <v>5.3</v>
      </c>
      <c r="G8" s="25">
        <v>18.6</v>
      </c>
      <c r="H8" s="26">
        <v>767.1</v>
      </c>
    </row>
    <row r="9" spans="1:8" ht="12.75">
      <c r="A9" s="14" t="s">
        <v>21</v>
      </c>
      <c r="B9" s="25">
        <v>340.8</v>
      </c>
      <c r="C9" s="25">
        <v>67.4</v>
      </c>
      <c r="D9" s="25">
        <v>67.4</v>
      </c>
      <c r="E9" s="25">
        <v>1.3</v>
      </c>
      <c r="F9" s="25">
        <v>3.8</v>
      </c>
      <c r="G9" s="25">
        <v>28.9</v>
      </c>
      <c r="H9" s="26">
        <v>703.65</v>
      </c>
    </row>
    <row r="10" spans="1:8" ht="12.75">
      <c r="A10" s="14" t="s">
        <v>25</v>
      </c>
      <c r="B10" s="25">
        <v>341.8</v>
      </c>
      <c r="C10" s="25">
        <v>64.8</v>
      </c>
      <c r="D10" s="25">
        <v>66.2</v>
      </c>
      <c r="E10" s="25">
        <v>1.9</v>
      </c>
      <c r="F10" s="25">
        <v>5.3</v>
      </c>
      <c r="G10" s="25">
        <v>25.3</v>
      </c>
      <c r="H10" s="26">
        <v>598.7</v>
      </c>
    </row>
    <row r="11" spans="1:8" ht="12.75">
      <c r="A11" s="14" t="s">
        <v>3</v>
      </c>
      <c r="B11" s="25">
        <v>707.5</v>
      </c>
      <c r="C11" s="25">
        <v>63.1</v>
      </c>
      <c r="D11" s="25">
        <v>64.2</v>
      </c>
      <c r="E11" s="25">
        <v>1.8</v>
      </c>
      <c r="F11" s="25">
        <v>8.4</v>
      </c>
      <c r="G11" s="25">
        <v>30.5</v>
      </c>
      <c r="H11" s="26">
        <v>523.4</v>
      </c>
    </row>
    <row r="12" spans="1:8" ht="12.75">
      <c r="A12" s="14" t="s">
        <v>22</v>
      </c>
      <c r="B12" s="25">
        <v>481.5</v>
      </c>
      <c r="C12" s="25">
        <v>65.7</v>
      </c>
      <c r="D12" s="25">
        <v>63.7</v>
      </c>
      <c r="E12" s="25">
        <v>3.4</v>
      </c>
      <c r="F12" s="25">
        <v>3.2</v>
      </c>
      <c r="G12" s="25">
        <v>28.4</v>
      </c>
      <c r="H12" s="26">
        <v>571.9</v>
      </c>
    </row>
    <row r="13" spans="1:8" ht="12.75">
      <c r="A13" s="14" t="s">
        <v>23</v>
      </c>
      <c r="B13" s="25">
        <v>642.5</v>
      </c>
      <c r="C13" s="25">
        <v>57.4</v>
      </c>
      <c r="D13" s="25">
        <v>61.3</v>
      </c>
      <c r="E13" s="25">
        <v>6.8</v>
      </c>
      <c r="F13" s="25">
        <v>9.6</v>
      </c>
      <c r="G13" s="25">
        <v>18.1</v>
      </c>
      <c r="H13" s="26">
        <v>836.3</v>
      </c>
    </row>
    <row r="14" spans="1:8" ht="12.75">
      <c r="A14" s="14" t="s">
        <v>0</v>
      </c>
      <c r="B14" s="25">
        <v>713.3</v>
      </c>
      <c r="C14" s="25">
        <v>55</v>
      </c>
      <c r="D14" s="25">
        <v>57.6</v>
      </c>
      <c r="E14" s="25">
        <v>1.1</v>
      </c>
      <c r="F14" s="25">
        <v>7.4</v>
      </c>
      <c r="G14" s="25">
        <v>22.3</v>
      </c>
      <c r="H14" s="26">
        <v>962.6</v>
      </c>
    </row>
    <row r="15" spans="1:8" ht="12.75">
      <c r="A15" s="14" t="s">
        <v>1</v>
      </c>
      <c r="B15" s="25">
        <v>858.6166666666667</v>
      </c>
      <c r="C15" s="25">
        <v>58.8</v>
      </c>
      <c r="D15" s="25">
        <v>58.4</v>
      </c>
      <c r="E15" s="25">
        <v>2.6</v>
      </c>
      <c r="F15" s="25">
        <v>8.4</v>
      </c>
      <c r="G15" s="25">
        <v>27.7</v>
      </c>
      <c r="H15" s="26">
        <v>585</v>
      </c>
    </row>
    <row r="16" spans="1:8" ht="12.75">
      <c r="A16" s="14" t="s">
        <v>27</v>
      </c>
      <c r="B16" s="25">
        <v>382.3</v>
      </c>
      <c r="C16" s="25">
        <v>66.4</v>
      </c>
      <c r="D16" s="25">
        <v>66</v>
      </c>
      <c r="E16" s="25">
        <v>1.7</v>
      </c>
      <c r="F16" s="25">
        <v>2.5</v>
      </c>
      <c r="G16" s="25">
        <v>22.8</v>
      </c>
      <c r="H16" s="26">
        <v>559.1</v>
      </c>
    </row>
    <row r="17" spans="1:8" ht="12.75">
      <c r="A17" s="14" t="s">
        <v>5</v>
      </c>
      <c r="B17" s="25">
        <v>330.2</v>
      </c>
      <c r="C17" s="25">
        <v>63.2</v>
      </c>
      <c r="D17" s="25">
        <v>62.9</v>
      </c>
      <c r="E17" s="25">
        <v>1.7</v>
      </c>
      <c r="F17" s="25">
        <v>8.3</v>
      </c>
      <c r="G17" s="25">
        <v>21</v>
      </c>
      <c r="H17" s="26">
        <v>534.2</v>
      </c>
    </row>
    <row r="18" spans="1:8" ht="12.75">
      <c r="A18" s="14" t="s">
        <v>2</v>
      </c>
      <c r="B18" s="25">
        <v>300.0833333333334</v>
      </c>
      <c r="C18" s="25">
        <v>67.5</v>
      </c>
      <c r="D18" s="25">
        <v>66.6</v>
      </c>
      <c r="E18" s="25">
        <v>2.6</v>
      </c>
      <c r="F18" s="25">
        <v>6.1</v>
      </c>
      <c r="G18" s="25">
        <v>29.7</v>
      </c>
      <c r="H18" s="26">
        <v>541.3</v>
      </c>
    </row>
    <row r="19" spans="1:8" ht="12.75">
      <c r="A19" s="17" t="s">
        <v>24</v>
      </c>
      <c r="B19" s="27">
        <v>674.9</v>
      </c>
      <c r="C19" s="27">
        <v>55.4</v>
      </c>
      <c r="D19" s="27">
        <v>55.9</v>
      </c>
      <c r="E19" s="27">
        <v>10.5</v>
      </c>
      <c r="F19" s="27">
        <v>11.1</v>
      </c>
      <c r="G19" s="27">
        <v>16</v>
      </c>
      <c r="H19" s="28">
        <v>917</v>
      </c>
    </row>
    <row r="23" spans="1:8" ht="12.75">
      <c r="A23" s="5" t="s">
        <v>83</v>
      </c>
      <c r="B23" s="5" t="s">
        <v>29</v>
      </c>
      <c r="C23" s="6" t="s">
        <v>33</v>
      </c>
      <c r="D23" s="7"/>
      <c r="E23" s="7"/>
      <c r="F23" s="7"/>
      <c r="G23" s="7"/>
      <c r="H23" s="8"/>
    </row>
    <row r="24" spans="1:8" ht="12.75">
      <c r="A24" s="9"/>
      <c r="B24" s="10" t="s">
        <v>42</v>
      </c>
      <c r="C24" s="10" t="s">
        <v>35</v>
      </c>
      <c r="D24" s="10" t="s">
        <v>34</v>
      </c>
      <c r="E24" s="10" t="s">
        <v>36</v>
      </c>
      <c r="F24" s="10" t="s">
        <v>37</v>
      </c>
      <c r="G24" s="10" t="s">
        <v>41</v>
      </c>
      <c r="H24" s="11" t="s">
        <v>38</v>
      </c>
    </row>
    <row r="25" spans="1:8" ht="12.75">
      <c r="A25" s="5" t="s">
        <v>28</v>
      </c>
      <c r="B25" s="10" t="s">
        <v>39</v>
      </c>
      <c r="C25" s="10" t="s">
        <v>39</v>
      </c>
      <c r="D25" s="10" t="s">
        <v>39</v>
      </c>
      <c r="E25" s="10" t="s">
        <v>40</v>
      </c>
      <c r="F25" s="10" t="s">
        <v>40</v>
      </c>
      <c r="G25" s="10" t="s">
        <v>40</v>
      </c>
      <c r="H25" s="11" t="s">
        <v>91</v>
      </c>
    </row>
    <row r="26" spans="1:8" ht="12.75">
      <c r="A26" s="10" t="s">
        <v>4</v>
      </c>
      <c r="B26" s="12">
        <v>1</v>
      </c>
      <c r="C26" s="12">
        <v>1</v>
      </c>
      <c r="D26" s="12">
        <v>1</v>
      </c>
      <c r="E26" s="12">
        <v>1</v>
      </c>
      <c r="F26" s="12">
        <v>1</v>
      </c>
      <c r="G26" s="12">
        <v>1</v>
      </c>
      <c r="H26" s="13">
        <v>1</v>
      </c>
    </row>
    <row r="27" spans="1:8" ht="12.75">
      <c r="A27" s="14" t="s">
        <v>26</v>
      </c>
      <c r="B27" s="15">
        <v>1</v>
      </c>
      <c r="C27" s="15">
        <v>1</v>
      </c>
      <c r="D27" s="15">
        <v>1</v>
      </c>
      <c r="E27" s="15">
        <v>1</v>
      </c>
      <c r="F27" s="15">
        <v>1</v>
      </c>
      <c r="G27" s="15">
        <v>1</v>
      </c>
      <c r="H27" s="16">
        <v>1</v>
      </c>
    </row>
    <row r="28" spans="1:8" ht="12.75">
      <c r="A28" s="14" t="s">
        <v>20</v>
      </c>
      <c r="B28" s="15">
        <v>1</v>
      </c>
      <c r="C28" s="15">
        <v>1</v>
      </c>
      <c r="D28" s="15">
        <v>1</v>
      </c>
      <c r="E28" s="15">
        <v>1</v>
      </c>
      <c r="F28" s="15">
        <v>1</v>
      </c>
      <c r="G28" s="15">
        <v>1</v>
      </c>
      <c r="H28" s="16">
        <v>1</v>
      </c>
    </row>
    <row r="29" spans="1:8" ht="12.75">
      <c r="A29" s="14" t="s">
        <v>21</v>
      </c>
      <c r="B29" s="15">
        <v>1</v>
      </c>
      <c r="C29" s="15">
        <v>1</v>
      </c>
      <c r="D29" s="15">
        <v>1</v>
      </c>
      <c r="E29" s="15">
        <v>1</v>
      </c>
      <c r="F29" s="15">
        <v>1</v>
      </c>
      <c r="G29" s="15">
        <v>1</v>
      </c>
      <c r="H29" s="16">
        <v>1</v>
      </c>
    </row>
    <row r="30" spans="1:8" ht="12.75">
      <c r="A30" s="14" t="s">
        <v>25</v>
      </c>
      <c r="B30" s="15">
        <v>1</v>
      </c>
      <c r="C30" s="15">
        <v>1</v>
      </c>
      <c r="D30" s="15">
        <v>1</v>
      </c>
      <c r="E30" s="15">
        <v>1</v>
      </c>
      <c r="F30" s="15">
        <v>1</v>
      </c>
      <c r="G30" s="15">
        <v>1</v>
      </c>
      <c r="H30" s="16">
        <v>1</v>
      </c>
    </row>
    <row r="31" spans="1:8" ht="12.75">
      <c r="A31" s="14" t="s">
        <v>3</v>
      </c>
      <c r="B31" s="15">
        <v>1</v>
      </c>
      <c r="C31" s="15">
        <v>1</v>
      </c>
      <c r="D31" s="15">
        <v>1</v>
      </c>
      <c r="E31" s="15">
        <v>1</v>
      </c>
      <c r="F31" s="15">
        <v>1</v>
      </c>
      <c r="G31" s="15">
        <v>1</v>
      </c>
      <c r="H31" s="16">
        <v>1</v>
      </c>
    </row>
    <row r="32" spans="1:8" ht="12.75">
      <c r="A32" s="14" t="s">
        <v>22</v>
      </c>
      <c r="B32" s="15">
        <v>1</v>
      </c>
      <c r="C32" s="15">
        <v>1</v>
      </c>
      <c r="D32" s="15">
        <v>1</v>
      </c>
      <c r="E32" s="15">
        <v>1</v>
      </c>
      <c r="F32" s="15">
        <v>1</v>
      </c>
      <c r="G32" s="15">
        <v>1</v>
      </c>
      <c r="H32" s="16">
        <v>1</v>
      </c>
    </row>
    <row r="33" spans="1:8" ht="12.75">
      <c r="A33" s="14" t="s">
        <v>23</v>
      </c>
      <c r="B33" s="15">
        <v>1</v>
      </c>
      <c r="C33" s="15">
        <v>1</v>
      </c>
      <c r="D33" s="15">
        <v>1</v>
      </c>
      <c r="E33" s="15">
        <v>1</v>
      </c>
      <c r="F33" s="15">
        <v>1</v>
      </c>
      <c r="G33" s="15">
        <v>1</v>
      </c>
      <c r="H33" s="16">
        <v>1</v>
      </c>
    </row>
    <row r="34" spans="1:8" ht="12.75">
      <c r="A34" s="14" t="s">
        <v>0</v>
      </c>
      <c r="B34" s="15">
        <v>1</v>
      </c>
      <c r="C34" s="15">
        <v>1</v>
      </c>
      <c r="D34" s="15">
        <v>1</v>
      </c>
      <c r="E34" s="15">
        <v>1</v>
      </c>
      <c r="F34" s="15">
        <v>1</v>
      </c>
      <c r="G34" s="15">
        <v>1</v>
      </c>
      <c r="H34" s="16">
        <v>1</v>
      </c>
    </row>
    <row r="35" spans="1:8" ht="12.75">
      <c r="A35" s="14" t="s">
        <v>1</v>
      </c>
      <c r="B35" s="15">
        <v>1</v>
      </c>
      <c r="C35" s="15">
        <v>1</v>
      </c>
      <c r="D35" s="15">
        <v>1</v>
      </c>
      <c r="E35" s="15">
        <v>1</v>
      </c>
      <c r="F35" s="15">
        <v>1</v>
      </c>
      <c r="G35" s="15">
        <v>1</v>
      </c>
      <c r="H35" s="16">
        <v>1</v>
      </c>
    </row>
    <row r="36" spans="1:8" ht="12.75">
      <c r="A36" s="14" t="s">
        <v>27</v>
      </c>
      <c r="B36" s="15">
        <v>1</v>
      </c>
      <c r="C36" s="15">
        <v>1</v>
      </c>
      <c r="D36" s="15">
        <v>1</v>
      </c>
      <c r="E36" s="15">
        <v>1</v>
      </c>
      <c r="F36" s="15">
        <v>1</v>
      </c>
      <c r="G36" s="15">
        <v>1</v>
      </c>
      <c r="H36" s="16">
        <v>1</v>
      </c>
    </row>
    <row r="37" spans="1:8" ht="12.75">
      <c r="A37" s="14" t="s">
        <v>5</v>
      </c>
      <c r="B37" s="15">
        <v>1</v>
      </c>
      <c r="C37" s="15">
        <v>1</v>
      </c>
      <c r="D37" s="15">
        <v>1</v>
      </c>
      <c r="E37" s="15">
        <v>1</v>
      </c>
      <c r="F37" s="15">
        <v>1</v>
      </c>
      <c r="G37" s="15">
        <v>1</v>
      </c>
      <c r="H37" s="16">
        <v>1</v>
      </c>
    </row>
    <row r="38" spans="1:8" ht="12.75">
      <c r="A38" s="14" t="s">
        <v>2</v>
      </c>
      <c r="B38" s="15">
        <v>1</v>
      </c>
      <c r="C38" s="15">
        <v>1</v>
      </c>
      <c r="D38" s="15">
        <v>1</v>
      </c>
      <c r="E38" s="15">
        <v>1</v>
      </c>
      <c r="F38" s="15">
        <v>1</v>
      </c>
      <c r="G38" s="15">
        <v>1</v>
      </c>
      <c r="H38" s="16">
        <v>1</v>
      </c>
    </row>
    <row r="39" spans="1:8" ht="12.75">
      <c r="A39" s="17" t="s">
        <v>24</v>
      </c>
      <c r="B39" s="18">
        <v>1</v>
      </c>
      <c r="C39" s="18">
        <v>1</v>
      </c>
      <c r="D39" s="18">
        <v>1</v>
      </c>
      <c r="E39" s="18">
        <v>1</v>
      </c>
      <c r="F39" s="18">
        <v>1</v>
      </c>
      <c r="G39" s="18">
        <v>1</v>
      </c>
      <c r="H39" s="19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22">
      <selection activeCell="H121" sqref="H121"/>
    </sheetView>
  </sheetViews>
  <sheetFormatPr defaultColWidth="9.140625" defaultRowHeight="12.75"/>
  <cols>
    <col min="1" max="1" width="18.7109375" style="0" customWidth="1"/>
    <col min="5" max="5" width="10.57421875" style="0" bestFit="1" customWidth="1"/>
  </cols>
  <sheetData>
    <row r="1" ht="12.75">
      <c r="A1" s="1" t="s">
        <v>7</v>
      </c>
    </row>
    <row r="2" spans="2:5" ht="12.75">
      <c r="B2">
        <v>2004</v>
      </c>
      <c r="C2">
        <v>2005</v>
      </c>
      <c r="D2">
        <v>2006</v>
      </c>
      <c r="E2">
        <v>2007</v>
      </c>
    </row>
    <row r="3" spans="1:5" ht="12.75">
      <c r="A3" t="s">
        <v>0</v>
      </c>
      <c r="B3" s="4">
        <f>TREND(C3:E3)</f>
        <v>54.306666666666665</v>
      </c>
      <c r="C3" s="4">
        <v>53.9</v>
      </c>
      <c r="D3" s="4">
        <v>56.97</v>
      </c>
      <c r="E3" s="4">
        <v>57.6</v>
      </c>
    </row>
    <row r="4" spans="1:5" ht="12.75">
      <c r="A4" t="s">
        <v>1</v>
      </c>
      <c r="B4" s="4">
        <f>TREND(C4:E4)</f>
        <v>55.53</v>
      </c>
      <c r="C4" s="4">
        <v>55.1</v>
      </c>
      <c r="D4" s="4">
        <v>58.04</v>
      </c>
      <c r="E4" s="4">
        <v>58.4</v>
      </c>
    </row>
    <row r="5" spans="1:5" ht="12.75">
      <c r="A5" t="s">
        <v>2</v>
      </c>
      <c r="B5" s="4">
        <v>60.9</v>
      </c>
      <c r="C5" s="4">
        <v>63.1</v>
      </c>
      <c r="D5" s="4">
        <v>67.05</v>
      </c>
      <c r="E5" s="4">
        <v>66.6</v>
      </c>
    </row>
    <row r="6" spans="1:5" ht="12.75">
      <c r="A6" t="s">
        <v>3</v>
      </c>
      <c r="B6" s="4">
        <v>64.1</v>
      </c>
      <c r="C6" s="4">
        <v>64.3</v>
      </c>
      <c r="D6" s="4">
        <v>64.07</v>
      </c>
      <c r="E6" s="4">
        <v>64.2</v>
      </c>
    </row>
    <row r="7" spans="1:5" ht="12.75">
      <c r="A7" t="s">
        <v>4</v>
      </c>
      <c r="B7" s="4">
        <v>60.2</v>
      </c>
      <c r="C7" s="4">
        <v>59.6</v>
      </c>
      <c r="D7" s="4">
        <v>60.81</v>
      </c>
      <c r="E7" s="4">
        <v>61.1</v>
      </c>
    </row>
    <row r="8" spans="1:5" ht="12.75">
      <c r="A8" t="s">
        <v>20</v>
      </c>
      <c r="B8" s="4">
        <f>TREND(C8:E8)</f>
        <v>59.316666666666656</v>
      </c>
      <c r="C8" s="4">
        <v>59.9</v>
      </c>
      <c r="D8" s="4">
        <v>59.8</v>
      </c>
      <c r="E8" s="4">
        <v>63.2</v>
      </c>
    </row>
    <row r="9" spans="1:5" ht="12.75">
      <c r="A9" t="s">
        <v>21</v>
      </c>
      <c r="B9" s="4">
        <v>68.8</v>
      </c>
      <c r="C9" s="4">
        <v>68.2</v>
      </c>
      <c r="D9" s="4">
        <v>67.1</v>
      </c>
      <c r="E9" s="4">
        <v>67.4</v>
      </c>
    </row>
    <row r="10" spans="1:5" ht="12.75">
      <c r="A10" t="s">
        <v>22</v>
      </c>
      <c r="B10" s="4">
        <f>TREND(C10:E10)</f>
        <v>63.03999999999999</v>
      </c>
      <c r="C10" s="4">
        <v>63.1</v>
      </c>
      <c r="D10" s="4">
        <v>63.22</v>
      </c>
      <c r="E10" s="4">
        <v>63.7</v>
      </c>
    </row>
    <row r="11" spans="1:5" ht="12.75">
      <c r="A11" t="s">
        <v>23</v>
      </c>
      <c r="B11" s="4">
        <f>TREND(C11:E11)</f>
        <v>66.12666666666667</v>
      </c>
      <c r="C11" s="4">
        <v>66.6</v>
      </c>
      <c r="D11" s="4">
        <v>62.53</v>
      </c>
      <c r="E11" s="4">
        <v>61.3</v>
      </c>
    </row>
    <row r="12" spans="1:5" ht="12.75">
      <c r="A12" t="s">
        <v>24</v>
      </c>
      <c r="B12" s="4">
        <f>TREND(C12:E12)</f>
        <v>55.82666666666666</v>
      </c>
      <c r="C12" s="4">
        <v>56.4</v>
      </c>
      <c r="D12" s="4">
        <v>54.43</v>
      </c>
      <c r="E12" s="4">
        <v>55.9</v>
      </c>
    </row>
    <row r="13" spans="1:5" ht="12.75">
      <c r="A13" t="s">
        <v>27</v>
      </c>
      <c r="B13" s="4">
        <v>64.7</v>
      </c>
      <c r="C13" s="4">
        <v>63.6</v>
      </c>
      <c r="D13" s="4">
        <v>63.36</v>
      </c>
      <c r="E13" s="4">
        <v>66</v>
      </c>
    </row>
    <row r="14" spans="1:5" ht="12.75">
      <c r="A14" t="s">
        <v>26</v>
      </c>
      <c r="B14" s="4">
        <f>TREND(C14:E14)</f>
        <v>58.870000000000005</v>
      </c>
      <c r="C14" s="4">
        <v>57.9</v>
      </c>
      <c r="D14" s="4">
        <v>63.21</v>
      </c>
      <c r="E14" s="4">
        <v>62.7</v>
      </c>
    </row>
    <row r="15" spans="1:5" ht="12.75">
      <c r="A15" t="s">
        <v>25</v>
      </c>
      <c r="B15" s="4">
        <f>TREND(C15:E15)</f>
        <v>64.83333333333334</v>
      </c>
      <c r="C15" s="4">
        <v>65</v>
      </c>
      <c r="D15" s="4">
        <v>65.1</v>
      </c>
      <c r="E15" s="4">
        <v>66.2</v>
      </c>
    </row>
    <row r="16" spans="1:5" ht="12.75">
      <c r="A16" t="s">
        <v>5</v>
      </c>
      <c r="B16" s="4">
        <v>62.5</v>
      </c>
      <c r="C16" s="4">
        <v>63.1</v>
      </c>
      <c r="D16" s="4">
        <v>63.27</v>
      </c>
      <c r="E16" s="4">
        <v>62.9</v>
      </c>
    </row>
    <row r="17" ht="12.75">
      <c r="A17" s="2" t="s">
        <v>6</v>
      </c>
    </row>
    <row r="18" ht="12.75">
      <c r="A18" s="2"/>
    </row>
    <row r="19" ht="12.75">
      <c r="A19" s="1" t="s">
        <v>8</v>
      </c>
    </row>
    <row r="20" spans="2:5" ht="12.75">
      <c r="B20">
        <f>B2</f>
        <v>2004</v>
      </c>
      <c r="C20">
        <f>C2</f>
        <v>2005</v>
      </c>
      <c r="D20">
        <f>D2</f>
        <v>2006</v>
      </c>
      <c r="E20">
        <f>E2</f>
        <v>2007</v>
      </c>
    </row>
    <row r="21" spans="1:5" ht="12.75">
      <c r="A21" t="str">
        <f>A3</f>
        <v>Magyarország</v>
      </c>
      <c r="B21" s="4">
        <f>TREND(C21:E21)</f>
        <v>52.23333333333333</v>
      </c>
      <c r="C21" s="4">
        <v>52</v>
      </c>
      <c r="D21" s="4">
        <v>54.2</v>
      </c>
      <c r="E21" s="4">
        <v>55</v>
      </c>
    </row>
    <row r="22" spans="1:5" ht="12.75">
      <c r="A22" t="str">
        <f aca="true" t="shared" si="0" ref="A22:A34">A4</f>
        <v>Németország</v>
      </c>
      <c r="B22" s="4">
        <f>TREND(C22:E22)</f>
        <v>55.53333333333334</v>
      </c>
      <c r="C22" s="4">
        <v>55</v>
      </c>
      <c r="D22" s="4">
        <v>58.5</v>
      </c>
      <c r="E22" s="4">
        <v>58.8</v>
      </c>
    </row>
    <row r="23" spans="1:5" ht="12.75">
      <c r="A23" t="str">
        <f t="shared" si="0"/>
        <v>Svédország</v>
      </c>
      <c r="B23" s="4">
        <v>62</v>
      </c>
      <c r="C23" s="4">
        <v>64.2</v>
      </c>
      <c r="D23" s="4">
        <v>67.1</v>
      </c>
      <c r="E23" s="4">
        <v>67.5</v>
      </c>
    </row>
    <row r="24" spans="1:5" ht="12.75">
      <c r="A24" t="str">
        <f t="shared" si="0"/>
        <v>Franciaország</v>
      </c>
      <c r="B24" s="4">
        <v>61.2</v>
      </c>
      <c r="C24" s="4">
        <v>62</v>
      </c>
      <c r="D24" s="4">
        <v>62.7</v>
      </c>
      <c r="E24" s="4">
        <v>63.1</v>
      </c>
    </row>
    <row r="25" spans="1:5" ht="12.75">
      <c r="A25" t="str">
        <f t="shared" si="0"/>
        <v>Ausztria</v>
      </c>
      <c r="B25" s="4">
        <v>58.1</v>
      </c>
      <c r="C25" s="4">
        <v>57.8</v>
      </c>
      <c r="D25" s="4">
        <v>58.4</v>
      </c>
      <c r="E25" s="4">
        <v>58.4</v>
      </c>
    </row>
    <row r="26" spans="1:5" ht="12.75">
      <c r="A26" t="str">
        <f t="shared" si="0"/>
        <v>Csehország</v>
      </c>
      <c r="B26" s="4">
        <f>TREND(C26:E26)</f>
        <v>57.3</v>
      </c>
      <c r="C26" s="4">
        <v>57.9</v>
      </c>
      <c r="D26" s="4">
        <v>57.8</v>
      </c>
      <c r="E26" s="4">
        <v>61.3</v>
      </c>
    </row>
    <row r="27" spans="1:5" ht="12.75">
      <c r="A27" t="str">
        <f t="shared" si="0"/>
        <v>Dánia</v>
      </c>
      <c r="B27" s="4">
        <v>68.3</v>
      </c>
      <c r="C27" s="4">
        <v>68.4</v>
      </c>
      <c r="D27" s="4">
        <v>67.7</v>
      </c>
      <c r="E27" s="4">
        <v>67.4</v>
      </c>
    </row>
    <row r="28" spans="1:5" ht="12.75">
      <c r="A28" t="str">
        <f t="shared" si="0"/>
        <v>Hollandia</v>
      </c>
      <c r="B28" s="4">
        <f>TREND(C28:E28)</f>
        <v>64.88333333333333</v>
      </c>
      <c r="C28" s="4">
        <v>65</v>
      </c>
      <c r="D28" s="4">
        <v>65</v>
      </c>
      <c r="E28" s="4">
        <v>65.7</v>
      </c>
    </row>
    <row r="29" spans="1:5" ht="12.75">
      <c r="A29" t="str">
        <f t="shared" si="0"/>
        <v>Lengyelország</v>
      </c>
      <c r="B29" s="4">
        <f>TREND(C29:E29)</f>
        <v>60.66666666666667</v>
      </c>
      <c r="C29" s="4">
        <v>61</v>
      </c>
      <c r="D29" s="4">
        <v>58.2</v>
      </c>
      <c r="E29" s="4">
        <v>57.4</v>
      </c>
    </row>
    <row r="30" spans="1:5" ht="12.75">
      <c r="A30" t="str">
        <f t="shared" si="0"/>
        <v>Szlovákia</v>
      </c>
      <c r="B30" s="4">
        <f>TREND(C30:E30)</f>
        <v>54.61666666666667</v>
      </c>
      <c r="C30" s="4">
        <v>54.9</v>
      </c>
      <c r="D30" s="4">
        <v>54.3</v>
      </c>
      <c r="E30" s="4">
        <v>55.4</v>
      </c>
    </row>
    <row r="31" spans="1:5" ht="12.75">
      <c r="A31" t="str">
        <f t="shared" si="0"/>
        <v>Norvégia</v>
      </c>
      <c r="B31" s="4">
        <v>65.5</v>
      </c>
      <c r="C31" s="4">
        <v>65.5</v>
      </c>
      <c r="D31" s="4">
        <v>65.7</v>
      </c>
      <c r="E31" s="4">
        <v>66.4</v>
      </c>
    </row>
    <row r="32" spans="1:5" ht="12.75">
      <c r="A32" t="str">
        <f t="shared" si="0"/>
        <v>Ciprus</v>
      </c>
      <c r="B32" s="4">
        <f>TREND(C32:E32)</f>
        <v>60.51666666666667</v>
      </c>
      <c r="C32" s="4">
        <v>59.5</v>
      </c>
      <c r="D32" s="4">
        <v>64.3</v>
      </c>
      <c r="E32" s="4">
        <v>63</v>
      </c>
    </row>
    <row r="33" spans="1:5" ht="12.75">
      <c r="A33" t="str">
        <f t="shared" si="0"/>
        <v>Egyesült Királyság</v>
      </c>
      <c r="B33" s="4">
        <f>TREND(C33:E33)</f>
        <v>63.53333333333333</v>
      </c>
      <c r="C33" s="4">
        <v>63.2</v>
      </c>
      <c r="D33" s="4">
        <v>65</v>
      </c>
      <c r="E33" s="4">
        <v>64.8</v>
      </c>
    </row>
    <row r="34" spans="1:5" ht="12.75">
      <c r="A34" t="str">
        <f t="shared" si="0"/>
        <v>Spanyolország</v>
      </c>
      <c r="B34" s="4">
        <v>62.5</v>
      </c>
      <c r="C34" s="4">
        <v>63.2</v>
      </c>
      <c r="D34" s="4">
        <v>63.7</v>
      </c>
      <c r="E34" s="4">
        <v>63.2</v>
      </c>
    </row>
    <row r="35" spans="2:5" ht="12.75">
      <c r="B35" s="4"/>
      <c r="C35" s="4"/>
      <c r="D35" s="4"/>
      <c r="E35" s="4"/>
    </row>
    <row r="36" ht="12.75">
      <c r="A36" s="3" t="s">
        <v>9</v>
      </c>
    </row>
    <row r="39" ht="12.75">
      <c r="A39" s="1" t="s">
        <v>10</v>
      </c>
    </row>
    <row r="40" spans="2:5" ht="12.75">
      <c r="B40">
        <f>B2</f>
        <v>2004</v>
      </c>
      <c r="C40">
        <f>C2</f>
        <v>2005</v>
      </c>
      <c r="D40">
        <f>D2</f>
        <v>2006</v>
      </c>
      <c r="E40">
        <f>E2</f>
        <v>2007</v>
      </c>
    </row>
    <row r="41" spans="1:5" ht="12.75">
      <c r="A41" t="str">
        <f>A3</f>
        <v>Magyarország</v>
      </c>
      <c r="B41" s="4">
        <v>5.1</v>
      </c>
      <c r="C41" s="4">
        <v>3.7</v>
      </c>
      <c r="D41" s="4">
        <v>4.1</v>
      </c>
      <c r="E41" s="4">
        <v>1.1</v>
      </c>
    </row>
    <row r="42" spans="1:5" ht="12.75">
      <c r="A42" t="str">
        <f>A4</f>
        <v>Németország</v>
      </c>
      <c r="B42" s="4">
        <v>1.2</v>
      </c>
      <c r="C42" s="4">
        <v>0.8</v>
      </c>
      <c r="D42" s="4">
        <v>3.3</v>
      </c>
      <c r="E42" s="4">
        <v>2.6</v>
      </c>
    </row>
    <row r="43" spans="1:5" ht="12.75">
      <c r="A43" t="str">
        <f>A5</f>
        <v>Svédország</v>
      </c>
      <c r="B43" s="4">
        <v>3.8</v>
      </c>
      <c r="C43" s="4">
        <v>2.7</v>
      </c>
      <c r="D43" s="4">
        <v>3.7</v>
      </c>
      <c r="E43" s="4">
        <v>2.6</v>
      </c>
    </row>
    <row r="44" spans="1:5" ht="12.75">
      <c r="A44" t="str">
        <f>A6</f>
        <v>Franciaország</v>
      </c>
      <c r="B44" s="4">
        <v>1.7</v>
      </c>
      <c r="C44" s="4">
        <v>1.1</v>
      </c>
      <c r="D44" s="4">
        <v>1.5</v>
      </c>
      <c r="E44" s="4">
        <v>1.8</v>
      </c>
    </row>
    <row r="45" spans="1:5" ht="12.75">
      <c r="A45" t="str">
        <f>A7</f>
        <v>Ausztria</v>
      </c>
      <c r="B45" s="4">
        <v>1.9</v>
      </c>
      <c r="C45" s="4">
        <v>1.8</v>
      </c>
      <c r="D45" s="4">
        <v>2.9</v>
      </c>
      <c r="E45" s="4">
        <v>3.1</v>
      </c>
    </row>
    <row r="46" spans="1:5" ht="12.75">
      <c r="A46" t="str">
        <f>A26</f>
        <v>Csehország</v>
      </c>
      <c r="B46" s="4">
        <v>4.4</v>
      </c>
      <c r="C46" s="4">
        <v>6</v>
      </c>
      <c r="D46" s="4">
        <v>6.5</v>
      </c>
      <c r="E46" s="4">
        <v>5.6</v>
      </c>
    </row>
    <row r="47" spans="1:5" ht="12.75">
      <c r="A47" t="str">
        <f aca="true" t="shared" si="1" ref="A47:A53">A27</f>
        <v>Dánia</v>
      </c>
      <c r="B47" s="4">
        <v>2.1</v>
      </c>
      <c r="C47" s="4">
        <v>2.1</v>
      </c>
      <c r="D47" s="4">
        <v>3.1</v>
      </c>
      <c r="E47" s="4">
        <v>1.3</v>
      </c>
    </row>
    <row r="48" spans="1:5" ht="12.75">
      <c r="A48" t="str">
        <f t="shared" si="1"/>
        <v>Hollandia</v>
      </c>
      <c r="B48" s="4">
        <v>1.9</v>
      </c>
      <c r="C48" s="4">
        <v>1.8</v>
      </c>
      <c r="D48" s="4">
        <v>3.2</v>
      </c>
      <c r="E48" s="4">
        <v>3.4</v>
      </c>
    </row>
    <row r="49" spans="1:5" ht="12.75">
      <c r="A49" t="str">
        <f t="shared" si="1"/>
        <v>Lengyelország</v>
      </c>
      <c r="B49" s="4">
        <v>5.4</v>
      </c>
      <c r="C49" s="4">
        <v>3.7</v>
      </c>
      <c r="D49" s="4">
        <v>6.3</v>
      </c>
      <c r="E49" s="4">
        <v>6.8</v>
      </c>
    </row>
    <row r="50" spans="1:5" ht="12.75">
      <c r="A50" t="str">
        <f t="shared" si="1"/>
        <v>Szlovákia</v>
      </c>
      <c r="B50" s="4">
        <v>5</v>
      </c>
      <c r="C50" s="4">
        <v>6.6</v>
      </c>
      <c r="D50" s="4">
        <v>8.4</v>
      </c>
      <c r="E50" s="4">
        <v>10.5</v>
      </c>
    </row>
    <row r="51" spans="1:5" ht="12.75">
      <c r="A51" t="str">
        <f t="shared" si="1"/>
        <v>Norvégia</v>
      </c>
      <c r="B51" s="4">
        <v>3.3</v>
      </c>
      <c r="C51" s="4">
        <v>2.1</v>
      </c>
      <c r="D51" s="4">
        <v>1.4</v>
      </c>
      <c r="E51" s="4">
        <v>1.7</v>
      </c>
    </row>
    <row r="52" spans="1:5" ht="12.75">
      <c r="A52" t="str">
        <f t="shared" si="1"/>
        <v>Ciprus</v>
      </c>
      <c r="B52" s="4">
        <v>1.8</v>
      </c>
      <c r="C52" s="4">
        <v>1.4</v>
      </c>
      <c r="D52" s="4">
        <v>2.1</v>
      </c>
      <c r="E52" s="4">
        <v>3.6</v>
      </c>
    </row>
    <row r="53" spans="1:5" ht="12.75">
      <c r="A53" t="str">
        <f t="shared" si="1"/>
        <v>Egyesült Királyság</v>
      </c>
      <c r="B53" s="4">
        <v>2.5</v>
      </c>
      <c r="C53" s="4">
        <v>1.5</v>
      </c>
      <c r="D53" s="4">
        <v>2.3</v>
      </c>
      <c r="E53" s="4">
        <v>1.9</v>
      </c>
    </row>
    <row r="54" spans="1:5" ht="12.75">
      <c r="A54" t="str">
        <f>A16</f>
        <v>Spanyolország</v>
      </c>
      <c r="B54" s="4">
        <v>1.6</v>
      </c>
      <c r="C54" s="4">
        <v>1.9</v>
      </c>
      <c r="D54" s="4">
        <v>2.4</v>
      </c>
      <c r="E54" s="4">
        <v>1.7</v>
      </c>
    </row>
    <row r="55" s="3" customFormat="1" ht="12.75">
      <c r="A55" s="3" t="s">
        <v>17</v>
      </c>
    </row>
    <row r="57" ht="12.75">
      <c r="A57" s="1" t="s">
        <v>11</v>
      </c>
    </row>
    <row r="58" spans="2:5" ht="12.75">
      <c r="B58">
        <f>B40</f>
        <v>2004</v>
      </c>
      <c r="C58">
        <f>C40</f>
        <v>2005</v>
      </c>
      <c r="D58">
        <f>D40</f>
        <v>2006</v>
      </c>
      <c r="E58">
        <f>E40</f>
        <v>2007</v>
      </c>
    </row>
    <row r="59" spans="1:5" ht="12.75">
      <c r="A59" t="str">
        <f aca="true" t="shared" si="2" ref="A59:A64">A41</f>
        <v>Magyarország</v>
      </c>
      <c r="B59" s="4">
        <v>20.6</v>
      </c>
      <c r="C59" s="4">
        <v>21.9</v>
      </c>
      <c r="D59" s="4">
        <v>22.4</v>
      </c>
      <c r="E59" s="4">
        <v>22.3</v>
      </c>
    </row>
    <row r="60" spans="1:5" ht="12.75">
      <c r="A60" t="str">
        <f t="shared" si="2"/>
        <v>Németország</v>
      </c>
      <c r="B60" s="4">
        <v>29.8</v>
      </c>
      <c r="C60" s="4">
        <v>29.7</v>
      </c>
      <c r="D60" s="4">
        <v>28.7</v>
      </c>
      <c r="E60" s="4">
        <v>27.7</v>
      </c>
    </row>
    <row r="61" spans="1:5" ht="12.75">
      <c r="A61" t="str">
        <f t="shared" si="2"/>
        <v>Svédország</v>
      </c>
      <c r="B61" s="4">
        <v>32</v>
      </c>
      <c r="C61" s="4">
        <v>31.5</v>
      </c>
      <c r="D61" s="4">
        <v>30.7</v>
      </c>
      <c r="E61" s="4">
        <v>29.7</v>
      </c>
    </row>
    <row r="62" spans="1:5" ht="12.75">
      <c r="A62" t="str">
        <f t="shared" si="2"/>
        <v>Franciaország</v>
      </c>
      <c r="B62" s="4">
        <v>31.3</v>
      </c>
      <c r="C62" s="4">
        <v>31.4</v>
      </c>
      <c r="D62" s="4">
        <v>30.7</v>
      </c>
      <c r="E62" s="4">
        <v>30.5</v>
      </c>
    </row>
    <row r="63" spans="1:5" ht="12.75">
      <c r="A63" t="str">
        <f t="shared" si="2"/>
        <v>Ausztria</v>
      </c>
      <c r="B63" s="4">
        <v>29.3</v>
      </c>
      <c r="C63" s="4">
        <v>28.9</v>
      </c>
      <c r="D63" s="4">
        <v>28.5</v>
      </c>
      <c r="E63" s="4">
        <v>28</v>
      </c>
    </row>
    <row r="64" spans="1:5" ht="12.75">
      <c r="A64" t="str">
        <f t="shared" si="2"/>
        <v>Csehország</v>
      </c>
      <c r="B64" s="4">
        <v>19.3</v>
      </c>
      <c r="C64" s="4">
        <v>19.2</v>
      </c>
      <c r="D64" s="4">
        <v>18.7</v>
      </c>
      <c r="E64" s="4">
        <v>18.6</v>
      </c>
    </row>
    <row r="65" spans="1:5" ht="12.75">
      <c r="A65" t="str">
        <f aca="true" t="shared" si="3" ref="A65:A71">A47</f>
        <v>Dánia</v>
      </c>
      <c r="B65" s="4">
        <v>30.7</v>
      </c>
      <c r="C65" s="4">
        <v>30.2</v>
      </c>
      <c r="D65" s="4">
        <v>29.3</v>
      </c>
      <c r="E65" s="4">
        <v>28.9</v>
      </c>
    </row>
    <row r="66" spans="1:5" ht="12.75">
      <c r="A66" t="str">
        <f t="shared" si="3"/>
        <v>Hollandia</v>
      </c>
      <c r="B66" s="4">
        <v>28.3</v>
      </c>
      <c r="C66" s="4">
        <v>27.9</v>
      </c>
      <c r="D66" s="4">
        <v>28.8</v>
      </c>
      <c r="E66" s="4">
        <v>28.4</v>
      </c>
    </row>
    <row r="67" spans="1:5" ht="12.75">
      <c r="A67" t="str">
        <f t="shared" si="3"/>
        <v>Lengyelország</v>
      </c>
      <c r="B67" s="4">
        <v>20.1</v>
      </c>
      <c r="C67" s="4">
        <v>19.7</v>
      </c>
      <c r="D67" s="4">
        <v>19.4</v>
      </c>
      <c r="E67" s="4">
        <v>18.1</v>
      </c>
    </row>
    <row r="68" spans="1:5" ht="12.75">
      <c r="A68" t="str">
        <f t="shared" si="3"/>
        <v>Szlovákia</v>
      </c>
      <c r="B68" s="4">
        <v>17.2</v>
      </c>
      <c r="C68" s="4">
        <v>16.5</v>
      </c>
      <c r="D68" s="4">
        <v>16.3</v>
      </c>
      <c r="E68" s="4">
        <v>16</v>
      </c>
    </row>
    <row r="69" spans="1:5" ht="12.75">
      <c r="A69" t="str">
        <f t="shared" si="3"/>
        <v>Norvégia</v>
      </c>
      <c r="B69" s="4">
        <v>25.9</v>
      </c>
      <c r="C69" s="4">
        <v>23.8</v>
      </c>
      <c r="D69" s="4">
        <v>22.6</v>
      </c>
      <c r="E69" s="4">
        <v>22.8</v>
      </c>
    </row>
    <row r="70" spans="1:5" ht="12.75">
      <c r="A70" t="str">
        <f t="shared" si="3"/>
        <v>Ciprus</v>
      </c>
      <c r="B70" s="4">
        <v>18.1</v>
      </c>
      <c r="C70" s="4">
        <v>18.4</v>
      </c>
      <c r="D70" s="4">
        <v>18.4</v>
      </c>
      <c r="E70" s="4">
        <v>18.5</v>
      </c>
    </row>
    <row r="71" spans="1:5" ht="12.75">
      <c r="A71" t="str">
        <f t="shared" si="3"/>
        <v>Egyesült Királyság</v>
      </c>
      <c r="B71" s="4">
        <v>25.9</v>
      </c>
      <c r="C71" s="4">
        <v>26.3</v>
      </c>
      <c r="D71" s="4">
        <v>26.1</v>
      </c>
      <c r="E71" s="4">
        <v>25.3</v>
      </c>
    </row>
    <row r="72" spans="1:5" ht="12.75">
      <c r="A72" t="str">
        <f>A54</f>
        <v>Spanyolország</v>
      </c>
      <c r="B72" s="4">
        <v>20.7</v>
      </c>
      <c r="C72" s="4">
        <v>20.9</v>
      </c>
      <c r="D72" s="4">
        <v>20.9</v>
      </c>
      <c r="E72" s="4">
        <v>21</v>
      </c>
    </row>
    <row r="73" ht="12.75">
      <c r="A73" s="3" t="s">
        <v>12</v>
      </c>
    </row>
    <row r="75" ht="12.75">
      <c r="A75" s="1" t="s">
        <v>18</v>
      </c>
    </row>
    <row r="76" spans="2:5" ht="12.75">
      <c r="B76">
        <f>B58</f>
        <v>2004</v>
      </c>
      <c r="C76">
        <f>C58</f>
        <v>2005</v>
      </c>
      <c r="D76">
        <f>D58</f>
        <v>2006</v>
      </c>
      <c r="E76">
        <f>E58</f>
        <v>2007</v>
      </c>
    </row>
    <row r="77" spans="1:5" ht="12.75">
      <c r="A77" t="str">
        <f aca="true" t="shared" si="4" ref="A77:A82">A59</f>
        <v>Magyarország</v>
      </c>
      <c r="B77" s="4">
        <v>783.5</v>
      </c>
      <c r="C77" s="4">
        <v>786.2</v>
      </c>
      <c r="D77" s="4">
        <v>792.1</v>
      </c>
      <c r="E77" s="4">
        <v>713.3</v>
      </c>
    </row>
    <row r="78" spans="1:5" ht="12.75">
      <c r="A78" t="str">
        <f t="shared" si="4"/>
        <v>Németország</v>
      </c>
      <c r="B78" s="4">
        <v>857.6</v>
      </c>
      <c r="C78" s="4">
        <v>846.4</v>
      </c>
      <c r="D78" s="4">
        <v>829.1</v>
      </c>
      <c r="E78" s="4">
        <f>TREND(B78:D78)</f>
        <v>858.6166666666667</v>
      </c>
    </row>
    <row r="79" spans="1:5" ht="12.75">
      <c r="A79" t="str">
        <f t="shared" si="4"/>
        <v>Svédország</v>
      </c>
      <c r="B79" s="4">
        <v>300.6</v>
      </c>
      <c r="C79" s="4">
        <v>292.6</v>
      </c>
      <c r="D79" s="4">
        <v>287.7</v>
      </c>
      <c r="E79" s="4">
        <f>TREND(B79:D79)</f>
        <v>300.0833333333334</v>
      </c>
    </row>
    <row r="80" spans="1:5" ht="12.75">
      <c r="A80" t="str">
        <f t="shared" si="4"/>
        <v>Franciaország</v>
      </c>
      <c r="B80" s="4">
        <v>748.2</v>
      </c>
      <c r="C80" s="4">
        <v>733.4</v>
      </c>
      <c r="D80" s="4">
        <v>718.3</v>
      </c>
      <c r="E80" s="4">
        <v>707.5</v>
      </c>
    </row>
    <row r="81" spans="1:5" ht="12.75">
      <c r="A81" t="str">
        <f t="shared" si="4"/>
        <v>Ausztria</v>
      </c>
      <c r="B81" s="4">
        <v>776.5</v>
      </c>
      <c r="C81" s="4">
        <v>770.7</v>
      </c>
      <c r="D81" s="4">
        <v>766.4</v>
      </c>
      <c r="E81" s="4">
        <v>777.9</v>
      </c>
    </row>
    <row r="82" spans="1:5" ht="12.75">
      <c r="A82" t="str">
        <f t="shared" si="4"/>
        <v>Csehország</v>
      </c>
      <c r="B82" s="4">
        <v>763.2</v>
      </c>
      <c r="C82" s="4">
        <v>754.2</v>
      </c>
      <c r="D82" s="4">
        <v>741.2</v>
      </c>
      <c r="E82" s="4">
        <v>727.3</v>
      </c>
    </row>
    <row r="83" spans="1:5" ht="12.75">
      <c r="A83" t="str">
        <f aca="true" t="shared" si="5" ref="A83:A89">A65</f>
        <v>Dánia</v>
      </c>
      <c r="B83" s="4">
        <v>382.5</v>
      </c>
      <c r="C83" s="4">
        <v>370.7</v>
      </c>
      <c r="D83" s="4">
        <v>361.8</v>
      </c>
      <c r="E83" s="4">
        <v>340.8</v>
      </c>
    </row>
    <row r="84" spans="1:5" ht="12.75">
      <c r="A84" t="str">
        <f t="shared" si="5"/>
        <v>Hollandia</v>
      </c>
      <c r="B84" s="4">
        <v>440.9</v>
      </c>
      <c r="C84" s="4">
        <v>439.1</v>
      </c>
      <c r="D84" s="4">
        <v>446.1</v>
      </c>
      <c r="E84" s="4">
        <v>481.5</v>
      </c>
    </row>
    <row r="85" spans="1:5" ht="12.75">
      <c r="A85" t="str">
        <f t="shared" si="5"/>
        <v>Lengyelország</v>
      </c>
      <c r="B85" s="4">
        <v>667</v>
      </c>
      <c r="C85" s="4">
        <v>652.2</v>
      </c>
      <c r="D85" s="4">
        <v>647.5</v>
      </c>
      <c r="E85" s="4">
        <v>642.5</v>
      </c>
    </row>
    <row r="86" spans="1:5" ht="12.75">
      <c r="A86" t="str">
        <f t="shared" si="5"/>
        <v>Szlovákia</v>
      </c>
      <c r="B86" s="4">
        <v>689.5</v>
      </c>
      <c r="C86" s="4">
        <v>676.7</v>
      </c>
      <c r="D86" s="4">
        <v>670.9</v>
      </c>
      <c r="E86" s="4">
        <v>674.9</v>
      </c>
    </row>
    <row r="87" spans="1:5" ht="12.75">
      <c r="A87" t="str">
        <f t="shared" si="5"/>
        <v>Norvégia</v>
      </c>
      <c r="B87" s="4">
        <v>420.6</v>
      </c>
      <c r="C87" s="4">
        <v>405.9</v>
      </c>
      <c r="D87" s="4">
        <v>402.7</v>
      </c>
      <c r="E87" s="4">
        <v>382.3</v>
      </c>
    </row>
    <row r="88" spans="1:5" ht="12.75">
      <c r="A88" t="str">
        <f t="shared" si="5"/>
        <v>Ciprus</v>
      </c>
      <c r="B88" s="4">
        <v>421</v>
      </c>
      <c r="C88" s="4">
        <v>380</v>
      </c>
      <c r="D88" s="4">
        <v>373.7</v>
      </c>
      <c r="E88" s="4">
        <v>375.5</v>
      </c>
    </row>
    <row r="89" spans="1:5" ht="12.75">
      <c r="A89" t="str">
        <f t="shared" si="5"/>
        <v>Egyesült Királyság</v>
      </c>
      <c r="B89" s="4">
        <v>387.6</v>
      </c>
      <c r="C89" s="4">
        <v>374.5</v>
      </c>
      <c r="D89" s="4">
        <v>356.7</v>
      </c>
      <c r="E89" s="4">
        <v>341.8</v>
      </c>
    </row>
    <row r="90" spans="1:5" ht="12.75">
      <c r="A90" t="str">
        <f>A72</f>
        <v>Spanyolország</v>
      </c>
      <c r="B90" s="4">
        <v>344.5</v>
      </c>
      <c r="C90" s="4">
        <v>338.9</v>
      </c>
      <c r="D90" s="4">
        <v>334.1</v>
      </c>
      <c r="E90" s="4">
        <v>330.2</v>
      </c>
    </row>
    <row r="91" ht="12.75">
      <c r="A91" s="3" t="s">
        <v>13</v>
      </c>
    </row>
    <row r="93" ht="12.75">
      <c r="A93" s="1" t="s">
        <v>14</v>
      </c>
    </row>
    <row r="94" spans="2:5" ht="12.75">
      <c r="B94">
        <f>B76</f>
        <v>2004</v>
      </c>
      <c r="C94">
        <f>C76</f>
        <v>2005</v>
      </c>
      <c r="D94">
        <f>D76</f>
        <v>2006</v>
      </c>
      <c r="E94">
        <f>E76</f>
        <v>2007</v>
      </c>
    </row>
    <row r="95" spans="1:5" ht="12.75">
      <c r="A95" t="str">
        <f aca="true" t="shared" si="6" ref="A95:A100">A77</f>
        <v>Magyarország</v>
      </c>
      <c r="B95" s="4">
        <v>6.1</v>
      </c>
      <c r="C95" s="4">
        <v>7.2</v>
      </c>
      <c r="D95" s="4">
        <v>7.5</v>
      </c>
      <c r="E95" s="4">
        <v>7.4</v>
      </c>
    </row>
    <row r="96" spans="1:5" ht="12.75">
      <c r="A96" t="str">
        <f t="shared" si="6"/>
        <v>Németország</v>
      </c>
      <c r="B96" s="4">
        <v>9.8</v>
      </c>
      <c r="C96" s="4">
        <v>10.7</v>
      </c>
      <c r="D96" s="4">
        <v>9.8</v>
      </c>
      <c r="E96" s="4">
        <v>8.4</v>
      </c>
    </row>
    <row r="97" spans="1:5" ht="12.75">
      <c r="A97" t="str">
        <f t="shared" si="6"/>
        <v>Svédország</v>
      </c>
      <c r="B97" s="4">
        <v>7.4</v>
      </c>
      <c r="C97" s="4">
        <v>7.6</v>
      </c>
      <c r="D97" s="4">
        <v>7</v>
      </c>
      <c r="E97" s="4">
        <v>6.1</v>
      </c>
    </row>
    <row r="98" spans="1:5" ht="12.75">
      <c r="A98" t="str">
        <f t="shared" si="6"/>
        <v>Franciaország</v>
      </c>
      <c r="B98" s="4">
        <v>9.3</v>
      </c>
      <c r="C98" s="4">
        <v>9.3</v>
      </c>
      <c r="D98" s="4">
        <v>9.2</v>
      </c>
      <c r="E98" s="4">
        <v>8.4</v>
      </c>
    </row>
    <row r="99" spans="1:5" ht="12.75">
      <c r="A99" t="str">
        <f t="shared" si="6"/>
        <v>Ausztria</v>
      </c>
      <c r="B99" s="4">
        <v>4.9</v>
      </c>
      <c r="C99" s="4">
        <v>5.2</v>
      </c>
      <c r="D99" s="4">
        <v>4.8</v>
      </c>
      <c r="E99" s="4">
        <v>4.4</v>
      </c>
    </row>
    <row r="100" spans="1:5" ht="12.75">
      <c r="A100" t="str">
        <f t="shared" si="6"/>
        <v>Csehország</v>
      </c>
      <c r="B100" s="4">
        <v>8.3</v>
      </c>
      <c r="C100" s="4">
        <v>7.9</v>
      </c>
      <c r="D100" s="4">
        <v>7.2</v>
      </c>
      <c r="E100" s="4">
        <v>5.3</v>
      </c>
    </row>
    <row r="101" spans="1:5" ht="12.75">
      <c r="A101" t="str">
        <f aca="true" t="shared" si="7" ref="A101:A107">A83</f>
        <v>Dánia</v>
      </c>
      <c r="B101" s="4">
        <v>5.5</v>
      </c>
      <c r="C101" s="4">
        <v>4.8</v>
      </c>
      <c r="D101" s="4">
        <v>3.9</v>
      </c>
      <c r="E101" s="4">
        <v>3.8</v>
      </c>
    </row>
    <row r="102" spans="1:5" ht="12.75">
      <c r="A102" t="str">
        <f t="shared" si="7"/>
        <v>Hollandia</v>
      </c>
      <c r="B102" s="4">
        <v>4.6</v>
      </c>
      <c r="C102" s="4">
        <v>4.7</v>
      </c>
      <c r="D102" s="4">
        <v>3.9</v>
      </c>
      <c r="E102" s="4">
        <v>3.2</v>
      </c>
    </row>
    <row r="103" spans="1:5" ht="12.75">
      <c r="A103" t="str">
        <f t="shared" si="7"/>
        <v>Lengyelország</v>
      </c>
      <c r="B103" s="4">
        <v>19</v>
      </c>
      <c r="C103" s="4">
        <v>17.8</v>
      </c>
      <c r="D103" s="4">
        <v>13.9</v>
      </c>
      <c r="E103" s="4">
        <v>9.6</v>
      </c>
    </row>
    <row r="104" spans="1:5" ht="12.75">
      <c r="A104" t="str">
        <f t="shared" si="7"/>
        <v>Szlovákia</v>
      </c>
      <c r="B104" s="4">
        <v>18.2</v>
      </c>
      <c r="C104" s="4">
        <v>16.3</v>
      </c>
      <c r="D104" s="4">
        <v>13.4</v>
      </c>
      <c r="E104" s="4">
        <v>11.1</v>
      </c>
    </row>
    <row r="105" spans="1:5" ht="12.75">
      <c r="A105" t="str">
        <f t="shared" si="7"/>
        <v>Norvégia</v>
      </c>
      <c r="B105" s="4">
        <v>4.3</v>
      </c>
      <c r="C105" s="4">
        <v>4.5</v>
      </c>
      <c r="D105" s="4">
        <v>3.4</v>
      </c>
      <c r="E105" s="4">
        <v>2.5</v>
      </c>
    </row>
    <row r="106" spans="1:5" ht="12.75">
      <c r="A106" t="str">
        <f t="shared" si="7"/>
        <v>Ciprus</v>
      </c>
      <c r="B106" s="4">
        <v>4.7</v>
      </c>
      <c r="C106" s="4">
        <v>5.3</v>
      </c>
      <c r="D106" s="4">
        <v>4.6</v>
      </c>
      <c r="E106" s="4">
        <v>4</v>
      </c>
    </row>
    <row r="107" spans="1:5" ht="12.75">
      <c r="A107" t="str">
        <f t="shared" si="7"/>
        <v>Egyesült Királyság</v>
      </c>
      <c r="B107" s="4">
        <v>4.7</v>
      </c>
      <c r="C107" s="4">
        <v>4.8</v>
      </c>
      <c r="D107" s="4">
        <v>5.4</v>
      </c>
      <c r="E107" s="4">
        <v>5.3</v>
      </c>
    </row>
    <row r="108" spans="1:5" ht="12.75">
      <c r="A108" t="str">
        <f>A90</f>
        <v>Spanyolország</v>
      </c>
      <c r="B108" s="4">
        <v>10.6</v>
      </c>
      <c r="C108" s="4">
        <v>9.2</v>
      </c>
      <c r="D108" s="4">
        <v>8.5</v>
      </c>
      <c r="E108" s="4">
        <v>8.3</v>
      </c>
    </row>
    <row r="109" ht="12.75">
      <c r="A109" s="3" t="s">
        <v>15</v>
      </c>
    </row>
    <row r="111" ht="12.75">
      <c r="A111" s="1" t="s">
        <v>19</v>
      </c>
    </row>
    <row r="112" spans="2:5" ht="12.75">
      <c r="B112">
        <f>B94</f>
        <v>2004</v>
      </c>
      <c r="C112">
        <f>C94</f>
        <v>2005</v>
      </c>
      <c r="D112">
        <f>D94</f>
        <v>2006</v>
      </c>
      <c r="E112">
        <f>E94</f>
        <v>2007</v>
      </c>
    </row>
    <row r="113" spans="1:5" ht="12.75">
      <c r="A113" t="str">
        <f aca="true" t="shared" si="8" ref="A113:A118">A95</f>
        <v>Magyarország</v>
      </c>
      <c r="B113" s="4">
        <v>1009.5</v>
      </c>
      <c r="C113" s="4">
        <v>1015.3</v>
      </c>
      <c r="D113" s="4">
        <v>969</v>
      </c>
      <c r="E113" s="4">
        <v>962.6</v>
      </c>
    </row>
    <row r="114" spans="1:5" ht="12.75">
      <c r="A114" t="str">
        <f t="shared" si="8"/>
        <v>Németország</v>
      </c>
      <c r="B114" s="4">
        <v>628.2</v>
      </c>
      <c r="C114" s="4">
        <v>620.1</v>
      </c>
      <c r="D114" s="4">
        <v>596.2</v>
      </c>
      <c r="E114" s="4">
        <v>585</v>
      </c>
    </row>
    <row r="115" spans="1:5" ht="12.75">
      <c r="A115" t="str">
        <f t="shared" si="8"/>
        <v>Svédország</v>
      </c>
      <c r="B115" s="4">
        <v>568.6</v>
      </c>
      <c r="C115" s="4">
        <v>560.5</v>
      </c>
      <c r="D115" s="4">
        <v>547.3</v>
      </c>
      <c r="E115" s="4">
        <v>541.3</v>
      </c>
    </row>
    <row r="116" spans="1:5" ht="12.75">
      <c r="A116" t="str">
        <f t="shared" si="8"/>
        <v>Franciaország</v>
      </c>
      <c r="B116" s="4">
        <v>562.4</v>
      </c>
      <c r="C116" s="4">
        <v>564.6</v>
      </c>
      <c r="D116" s="4">
        <v>536.1</v>
      </c>
      <c r="E116" s="4">
        <v>523.4</v>
      </c>
    </row>
    <row r="117" spans="1:5" ht="12.75">
      <c r="A117" t="str">
        <f t="shared" si="8"/>
        <v>Ausztria</v>
      </c>
      <c r="B117" s="4">
        <v>617.7</v>
      </c>
      <c r="C117" s="4">
        <v>607.4</v>
      </c>
      <c r="D117" s="4">
        <v>581.3</v>
      </c>
      <c r="E117" s="4">
        <v>562.1</v>
      </c>
    </row>
    <row r="118" spans="1:5" ht="12.75">
      <c r="A118" t="str">
        <f t="shared" si="8"/>
        <v>Csehország</v>
      </c>
      <c r="B118" s="4">
        <v>851.7</v>
      </c>
      <c r="C118" s="4">
        <v>837.8</v>
      </c>
      <c r="D118" s="4">
        <v>789.3</v>
      </c>
      <c r="E118" s="4">
        <v>767.1</v>
      </c>
    </row>
    <row r="119" spans="1:5" ht="12.75">
      <c r="A119" t="str">
        <f aca="true" t="shared" si="9" ref="A119:A125">A101</f>
        <v>Dánia</v>
      </c>
      <c r="B119" s="4">
        <v>707.1</v>
      </c>
      <c r="C119" s="4">
        <v>684.5</v>
      </c>
      <c r="D119" s="4">
        <v>682.6</v>
      </c>
      <c r="E119" s="4">
        <f>TREND(B119:D119)</f>
        <v>703.65</v>
      </c>
    </row>
    <row r="120" spans="1:5" ht="12.75">
      <c r="A120" t="str">
        <f t="shared" si="9"/>
        <v>Hollandia</v>
      </c>
      <c r="B120" s="4">
        <v>630.4</v>
      </c>
      <c r="C120" s="4">
        <v>615.5</v>
      </c>
      <c r="D120" s="4">
        <v>595.9</v>
      </c>
      <c r="E120" s="4">
        <v>571.9</v>
      </c>
    </row>
    <row r="121" spans="1:5" ht="12.75">
      <c r="A121" t="str">
        <f t="shared" si="9"/>
        <v>Lengyelország</v>
      </c>
      <c r="B121" s="4">
        <v>870.7</v>
      </c>
      <c r="C121" s="4">
        <v>860.8</v>
      </c>
      <c r="D121" s="4">
        <v>841.3</v>
      </c>
      <c r="E121" s="4">
        <v>836.3</v>
      </c>
    </row>
    <row r="122" spans="1:5" ht="12.75">
      <c r="A122" t="str">
        <f t="shared" si="9"/>
        <v>Szlovákia</v>
      </c>
      <c r="B122" s="4">
        <v>945.6</v>
      </c>
      <c r="C122" s="4">
        <v>956.4</v>
      </c>
      <c r="D122" s="4">
        <v>930.4</v>
      </c>
      <c r="E122" s="4">
        <v>917</v>
      </c>
    </row>
    <row r="123" spans="1:5" ht="12.75">
      <c r="A123" t="str">
        <f t="shared" si="9"/>
        <v>Norvégia</v>
      </c>
      <c r="B123" s="4">
        <v>582.3</v>
      </c>
      <c r="C123" s="4">
        <v>570.3</v>
      </c>
      <c r="D123" s="4">
        <v>559.3</v>
      </c>
      <c r="E123" s="4">
        <v>559.1</v>
      </c>
    </row>
    <row r="124" spans="1:5" ht="12.75">
      <c r="A124" t="str">
        <f t="shared" si="9"/>
        <v>Ciprus</v>
      </c>
      <c r="B124" s="4">
        <v>620.5</v>
      </c>
      <c r="C124" s="4">
        <v>640.1</v>
      </c>
      <c r="D124" s="4">
        <v>580.2</v>
      </c>
      <c r="E124" s="4">
        <v>583.2</v>
      </c>
    </row>
    <row r="125" spans="1:5" ht="12.75">
      <c r="A125" t="str">
        <f t="shared" si="9"/>
        <v>Egyesült Királyság</v>
      </c>
      <c r="B125" s="4">
        <v>648.5</v>
      </c>
      <c r="C125" s="4">
        <v>636.1</v>
      </c>
      <c r="D125" s="4">
        <v>608.3</v>
      </c>
      <c r="E125" s="4">
        <v>598.7</v>
      </c>
    </row>
    <row r="126" spans="1:5" ht="12.75">
      <c r="A126" t="str">
        <f>A108</f>
        <v>Spanyolország</v>
      </c>
      <c r="B126" s="4">
        <v>565.5</v>
      </c>
      <c r="C126" s="4">
        <v>568.7</v>
      </c>
      <c r="D126" s="4">
        <v>532.3</v>
      </c>
      <c r="E126" s="4">
        <v>534.2</v>
      </c>
    </row>
    <row r="127" ht="12.75">
      <c r="A127" s="3" t="s">
        <v>16</v>
      </c>
    </row>
  </sheetData>
  <sheetProtection/>
  <hyperlinks>
    <hyperlink ref="A17" r:id="rId1" display="http://translate.googleusercontent.com/translate_c?hl=hu&amp;ie=UTF-8&amp;sl=en&amp;tl=hu&amp;u=http://epp.eurostat.ec.europa.eu/tgm/table.do%3Ftab%3Dtable%26init%3D1%26plugin%3D1%26language%3Den%26pcode%3Dtsien180&amp;prev=_t&amp;rurl=translate.google.hu&amp;usg=ALkJrhhbuuLuli2zaIx"/>
    <hyperlink ref="A36" r:id="rId2" display="http://epp.eurostat.ec.europa.eu/tgm/refreshTableAction.do;jsessionid=9ea7974b30ea3ba1ed8c045a40078c6beaa76380be7a.e34SbxiOchiKc40LbNmLahiKb3mOe0?tab=table&amp;plugin=1&amp;pcode=tsien180&amp;language=en"/>
    <hyperlink ref="A73" r:id="rId3" display="http://epp.eurostat.ec.europa.eu/tgm/table.do?tab=table&amp;init=1&amp;language=en&amp;pcode=tps00098&amp;plugin=1"/>
    <hyperlink ref="A91" r:id="rId4" display="http://epp.eurostat.ec.europa.eu/tgm/table.do?tab=table&amp;init=1&amp;language=en&amp;pcode=tps00046&amp;plugin=1"/>
    <hyperlink ref="A109" r:id="rId5" display="http://epp.eurostat.ec.europa.eu/tgm/table.do?tab=table&amp;init=1&amp;language=en&amp;pcode=tsiem110&amp;plugin=1"/>
    <hyperlink ref="A127" r:id="rId6" display="http://epp.eurostat.ec.europa.eu/tgm/table.do?tab=table&amp;init=1&amp;language=en&amp;pcode=tps00165&amp;plugin=1"/>
    <hyperlink ref="A55:IV55" r:id="rId7" display="http://translate.googleusercontent.com/translate_c?hl=hu&amp;ie=UTF-8&amp;sl=en&amp;tl=hu&amp;u=http://epp.eurostat.ec.europa.eu/tgm/table.do%3Ftab%3Dtable%26init%3D1%26plugin%3D1%26language%3Den%26pcode%3Dtsdec100&amp;prev=_t&amp;rurl=translate.google.hu&amp;usg=ALkJrhhDbQbxrroqr-d"/>
  </hyperlinks>
  <printOptions/>
  <pageMargins left="0.75" right="0.75" top="1" bottom="1" header="0.5" footer="0.5"/>
  <pageSetup horizontalDpi="300" verticalDpi="3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Koplányi Márton</dc:creator>
  <cp:keywords/>
  <dc:description/>
  <cp:lastModifiedBy>pl2</cp:lastModifiedBy>
  <dcterms:created xsi:type="dcterms:W3CDTF">2010-06-21T12:43:04Z</dcterms:created>
  <dcterms:modified xsi:type="dcterms:W3CDTF">2010-08-01T13:15:52Z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